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80" activeTab="0"/>
  </bookViews>
  <sheets>
    <sheet name="Rekapitulacia" sheetId="1" r:id="rId1"/>
    <sheet name="VAR 1" sheetId="2" r:id="rId2"/>
    <sheet name="VAR 2" sheetId="3" r:id="rId3"/>
    <sheet name="Materiálové hodnoty" sheetId="4" r:id="rId4"/>
  </sheets>
  <definedNames>
    <definedName name="_xlnm.Print_Area" localSheetId="3">'Materiálové hodnoty'!$B$1:$P$77</definedName>
  </definedNames>
  <calcPr fullCalcOnLoad="1"/>
</workbook>
</file>

<file path=xl/sharedStrings.xml><?xml version="1.0" encoding="utf-8"?>
<sst xmlns="http://schemas.openxmlformats.org/spreadsheetml/2006/main" count="1219" uniqueCount="275">
  <si>
    <t>Súhrn ekologických ukazovateľov</t>
  </si>
  <si>
    <t>VAR 1</t>
  </si>
  <si>
    <t>VAR 2</t>
  </si>
  <si>
    <t>ROZDIEL</t>
  </si>
  <si>
    <t>MJ</t>
  </si>
  <si>
    <t xml:space="preserve">kg CO2 eq. </t>
  </si>
  <si>
    <t>kg SO2 eq</t>
  </si>
  <si>
    <t>Kwh</t>
  </si>
  <si>
    <t>Popis</t>
  </si>
  <si>
    <t>PEI neobnov.* MJ</t>
  </si>
  <si>
    <r>
      <t>GWP  kg CO</t>
    </r>
    <r>
      <rPr>
        <b/>
        <vertAlign val="subscript"/>
        <sz val="16"/>
        <rFont val="Arial"/>
        <family val="2"/>
      </rPr>
      <t>2</t>
    </r>
    <r>
      <rPr>
        <b/>
        <sz val="16"/>
        <rFont val="Arial"/>
        <family val="2"/>
      </rPr>
      <t>eq</t>
    </r>
  </si>
  <si>
    <r>
      <t>AP kg SO</t>
    </r>
    <r>
      <rPr>
        <b/>
        <vertAlign val="subscript"/>
        <sz val="16"/>
        <rFont val="Arial"/>
        <family val="2"/>
      </rPr>
      <t>2</t>
    </r>
    <r>
      <rPr>
        <b/>
        <sz val="16"/>
        <rFont val="Arial"/>
        <family val="2"/>
      </rPr>
      <t>eq</t>
    </r>
  </si>
  <si>
    <t>Výpočet VAR 1:</t>
  </si>
  <si>
    <t>EKOLOGICKÁ KONŠTRUKCIA</t>
  </si>
  <si>
    <t>Rozmery</t>
  </si>
  <si>
    <t>Množstvo</t>
  </si>
  <si>
    <t>Zap./Vyp.</t>
  </si>
  <si>
    <t>Popis materiálu</t>
  </si>
  <si>
    <t>Hrúbku/ Gramáž</t>
  </si>
  <si>
    <r>
      <t>GWP  kg CO</t>
    </r>
    <r>
      <rPr>
        <b/>
        <vertAlign val="subscript"/>
        <sz val="11"/>
        <rFont val="Arial"/>
        <family val="2"/>
      </rPr>
      <t>2</t>
    </r>
    <r>
      <rPr>
        <b/>
        <sz val="11"/>
        <rFont val="Arial"/>
        <family val="2"/>
      </rPr>
      <t>eq</t>
    </r>
  </si>
  <si>
    <r>
      <t>AP kg SO</t>
    </r>
    <r>
      <rPr>
        <b/>
        <vertAlign val="subscript"/>
        <sz val="11"/>
        <rFont val="Arial"/>
        <family val="2"/>
      </rPr>
      <t>2</t>
    </r>
    <r>
      <rPr>
        <b/>
        <sz val="11"/>
        <rFont val="Arial"/>
        <family val="2"/>
      </rPr>
      <t>eq</t>
    </r>
  </si>
  <si>
    <t>Základanie</t>
  </si>
  <si>
    <t>Výkop</t>
  </si>
  <si>
    <t>Dlžky</t>
  </si>
  <si>
    <t>Šírka</t>
  </si>
  <si>
    <t>Hlbka</t>
  </si>
  <si>
    <t>Počet</t>
  </si>
  <si>
    <t>m3</t>
  </si>
  <si>
    <t>Vlastná hodnota</t>
  </si>
  <si>
    <t>Celkom</t>
  </si>
  <si>
    <t>SPOLU</t>
  </si>
  <si>
    <r>
      <t>m</t>
    </r>
    <r>
      <rPr>
        <b/>
        <vertAlign val="superscript"/>
        <sz val="10"/>
        <rFont val="Arial"/>
        <family val="2"/>
      </rPr>
      <t>3</t>
    </r>
  </si>
  <si>
    <t>Ešte nie sú údaje...</t>
  </si>
  <si>
    <t>Štrky</t>
  </si>
  <si>
    <t>Geotextília</t>
  </si>
  <si>
    <t>m2</t>
  </si>
  <si>
    <r>
      <t>m</t>
    </r>
    <r>
      <rPr>
        <b/>
        <vertAlign val="superscript"/>
        <sz val="10"/>
        <rFont val="Arial"/>
        <family val="2"/>
      </rPr>
      <t>2</t>
    </r>
  </si>
  <si>
    <r>
      <t>gr/m</t>
    </r>
    <r>
      <rPr>
        <vertAlign val="superscript"/>
        <sz val="10"/>
        <rFont val="Arial"/>
        <family val="2"/>
      </rPr>
      <t>2</t>
    </r>
  </si>
  <si>
    <t>Základové pásy</t>
  </si>
  <si>
    <t>Debniace tvárnice</t>
  </si>
  <si>
    <t>Základová doska</t>
  </si>
  <si>
    <t>%</t>
  </si>
  <si>
    <t>Železo</t>
  </si>
  <si>
    <t>kg</t>
  </si>
  <si>
    <t>Separačna fólia</t>
  </si>
  <si>
    <t>Hydroizolácia</t>
  </si>
  <si>
    <t>Tepelná izolácia základov</t>
  </si>
  <si>
    <t>Tepelná izolácia</t>
  </si>
  <si>
    <t>Hrúbka</t>
  </si>
  <si>
    <t>Sokel</t>
  </si>
  <si>
    <t>Nosné steny</t>
  </si>
  <si>
    <t>Obvodové steny</t>
  </si>
  <si>
    <t>Výšky</t>
  </si>
  <si>
    <t>Hrúbky</t>
  </si>
  <si>
    <t>Steny</t>
  </si>
  <si>
    <t>Vencovky</t>
  </si>
  <si>
    <t>Poschodie</t>
  </si>
  <si>
    <t>Poschodie bočne</t>
  </si>
  <si>
    <t>iné</t>
  </si>
  <si>
    <t>Odpočet</t>
  </si>
  <si>
    <t>Vence</t>
  </si>
  <si>
    <t>Výška</t>
  </si>
  <si>
    <t>Priečky</t>
  </si>
  <si>
    <t>Priečky 115</t>
  </si>
  <si>
    <t>Strop</t>
  </si>
  <si>
    <t>Stropná doska</t>
  </si>
  <si>
    <t>Drevo</t>
  </si>
  <si>
    <t>Strecha</t>
  </si>
  <si>
    <t>Ligno Q 3 90mm</t>
  </si>
  <si>
    <t>Drevené rebriky</t>
  </si>
  <si>
    <t>Pomocné drevo okraje</t>
  </si>
  <si>
    <t>Železobetón</t>
  </si>
  <si>
    <t>Podstrešna rovina</t>
  </si>
  <si>
    <t>Strešná krytina</t>
  </si>
  <si>
    <t>Strecha 1</t>
  </si>
  <si>
    <t>Strecha 2</t>
  </si>
  <si>
    <t>Strecha 3</t>
  </si>
  <si>
    <t>Strecha 4</t>
  </si>
  <si>
    <t>Laty a kontralaty</t>
  </si>
  <si>
    <t>Substrát</t>
  </si>
  <si>
    <t>Zem</t>
  </si>
  <si>
    <t>Tepelné mosty</t>
  </si>
  <si>
    <t>Dlžka</t>
  </si>
  <si>
    <t>Podlahy</t>
  </si>
  <si>
    <t>Kontaktná fasáda</t>
  </si>
  <si>
    <t>Výplň dutín</t>
  </si>
  <si>
    <t>Fasádny plášť</t>
  </si>
  <si>
    <t>Omietka/Obklad</t>
  </si>
  <si>
    <t>Omietka</t>
  </si>
  <si>
    <t>Obklad</t>
  </si>
  <si>
    <t>Obklad vonkajší</t>
  </si>
  <si>
    <t>Nosná konštrukcia</t>
  </si>
  <si>
    <t>Povrchy</t>
  </si>
  <si>
    <t>Parkety</t>
  </si>
  <si>
    <t>Dlážba</t>
  </si>
  <si>
    <t>Kročajová izolácia</t>
  </si>
  <si>
    <t>Stropy</t>
  </si>
  <si>
    <t>Okná</t>
  </si>
  <si>
    <t>Sklo</t>
  </si>
  <si>
    <t>Rám</t>
  </si>
  <si>
    <t>Výpočet VAR 2:</t>
  </si>
  <si>
    <t>KLASICKÁ KONŠTRUKCIA</t>
  </si>
  <si>
    <t>Pomocna konštrukcia kraj</t>
  </si>
  <si>
    <t>Materiálové hodnoty</t>
  </si>
  <si>
    <t>Oebox</t>
  </si>
  <si>
    <r>
      <t xml:space="preserve">Údaje zo stránky </t>
    </r>
    <r>
      <rPr>
        <sz val="11"/>
        <color indexed="12"/>
        <rFont val="Arial"/>
        <family val="2"/>
      </rPr>
      <t>www.oebox.at</t>
    </r>
  </si>
  <si>
    <t>bez označenia</t>
  </si>
  <si>
    <t>Údaje z knihy Passivhaus Bauteilkatalog</t>
  </si>
  <si>
    <t>Štrky a piesky</t>
  </si>
  <si>
    <t>Názov</t>
  </si>
  <si>
    <t>hrúbka mm</t>
  </si>
  <si>
    <r>
      <t>hustota kg/m</t>
    </r>
    <r>
      <rPr>
        <b/>
        <vertAlign val="superscript"/>
        <sz val="11"/>
        <rFont val="Arial"/>
        <family val="2"/>
      </rPr>
      <t>3</t>
    </r>
  </si>
  <si>
    <t>difúzia mi</t>
  </si>
  <si>
    <t>difúzia mi (prepočet na hrúbku)</t>
  </si>
  <si>
    <t>Súčiniteľ tepelnej vodivosti lambda</t>
  </si>
  <si>
    <t>Tepelná kapacita c kJ/kgK</t>
  </si>
  <si>
    <t>PEI/kg</t>
  </si>
  <si>
    <r>
      <t>CO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>/kg</t>
    </r>
  </si>
  <si>
    <r>
      <t>SO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>/kg</t>
    </r>
  </si>
  <si>
    <r>
      <t>tepelná kapacita KJ/m</t>
    </r>
    <r>
      <rPr>
        <b/>
        <vertAlign val="superscript"/>
        <sz val="11"/>
        <rFont val="Arial"/>
        <family val="2"/>
      </rPr>
      <t>2</t>
    </r>
  </si>
  <si>
    <r>
      <t>PEI neobnoviteľný MJ/m</t>
    </r>
    <r>
      <rPr>
        <b/>
        <vertAlign val="superscript"/>
        <sz val="11"/>
        <rFont val="Arial"/>
        <family val="2"/>
      </rPr>
      <t>2</t>
    </r>
  </si>
  <si>
    <r>
      <t>GWP  kg CO</t>
    </r>
    <r>
      <rPr>
        <b/>
        <vertAlign val="subscript"/>
        <sz val="11"/>
        <rFont val="Arial"/>
        <family val="2"/>
      </rPr>
      <t>2</t>
    </r>
    <r>
      <rPr>
        <b/>
        <sz val="11"/>
        <rFont val="Arial"/>
        <family val="2"/>
      </rPr>
      <t>eq/m</t>
    </r>
    <r>
      <rPr>
        <b/>
        <vertAlign val="superscript"/>
        <sz val="11"/>
        <rFont val="Arial"/>
        <family val="2"/>
      </rPr>
      <t>2</t>
    </r>
  </si>
  <si>
    <r>
      <t>AP kg SO</t>
    </r>
    <r>
      <rPr>
        <b/>
        <vertAlign val="subscript"/>
        <sz val="11"/>
        <rFont val="Arial"/>
        <family val="2"/>
      </rPr>
      <t>2</t>
    </r>
    <r>
      <rPr>
        <b/>
        <sz val="11"/>
        <rFont val="Arial"/>
        <family val="2"/>
      </rPr>
      <t>eq/m</t>
    </r>
    <r>
      <rPr>
        <b/>
        <vertAlign val="superscript"/>
        <sz val="11"/>
        <rFont val="Arial"/>
        <family val="2"/>
      </rPr>
      <t>2</t>
    </r>
  </si>
  <si>
    <t>Štrk</t>
  </si>
  <si>
    <t>Makadam</t>
  </si>
  <si>
    <t>Piesok, vlhký 20%</t>
  </si>
  <si>
    <t>Nosné materiály</t>
  </si>
  <si>
    <t>Stavebné drevo sušené na vzduchu</t>
  </si>
  <si>
    <t>Stojky 100x60 + 60x60 hrúbka 360mm 4,5%</t>
  </si>
  <si>
    <t>Stavebné drevo technicky sušené</t>
  </si>
  <si>
    <t>Stojky prepočet</t>
  </si>
  <si>
    <t>Lepené drevené hranoly</t>
  </si>
  <si>
    <t>Stojky 150x150 po 3m</t>
  </si>
  <si>
    <t>Krížom spojené drevené dosky</t>
  </si>
  <si>
    <t>KLH</t>
  </si>
  <si>
    <t>Normalný betón (bez armovania)</t>
  </si>
  <si>
    <t>Keramzit betón</t>
  </si>
  <si>
    <t>Betónové šalovacie tvárnice (bez jadra)</t>
  </si>
  <si>
    <t>Armovacie železo</t>
  </si>
  <si>
    <t>Základy 0,7%</t>
  </si>
  <si>
    <t>Steny 0,8%</t>
  </si>
  <si>
    <t>Stropy 0,9%</t>
  </si>
  <si>
    <t>Tehla dierovaná</t>
  </si>
  <si>
    <t>Hlina masívna</t>
  </si>
  <si>
    <t>Plynosilikát (Pórobetón)</t>
  </si>
  <si>
    <t>Vápennopieskové tehly</t>
  </si>
  <si>
    <t>Paropriepustné dosky</t>
  </si>
  <si>
    <t>Drevovláknitá doska</t>
  </si>
  <si>
    <t>Hofafest UD</t>
  </si>
  <si>
    <t>Drevený záklop</t>
  </si>
  <si>
    <t xml:space="preserve">MDF </t>
  </si>
  <si>
    <t>OSB</t>
  </si>
  <si>
    <t>Drevocementové dosky</t>
  </si>
  <si>
    <t>Drevomagnezitové dosky</t>
  </si>
  <si>
    <t>Tepelné izolácie</t>
  </si>
  <si>
    <t>hrúbka (mm) prepočet na U=0,1</t>
  </si>
  <si>
    <t>Na tepelné mosty</t>
  </si>
  <si>
    <t>Penové sklo (dosky)</t>
  </si>
  <si>
    <t>Purenit</t>
  </si>
  <si>
    <t>Zakladacie vápennopieskové tehly (Kimmstein)</t>
  </si>
  <si>
    <t>PUR dosky</t>
  </si>
  <si>
    <t>Na podlahu a základy</t>
  </si>
  <si>
    <t>EPS 20 (podlahový??)</t>
  </si>
  <si>
    <t>EPS 25</t>
  </si>
  <si>
    <t>Polystyrénbetón</t>
  </si>
  <si>
    <t>Perlit expandovaný hydrofobizovaný</t>
  </si>
  <si>
    <t>Sklená vata pochôdzna</t>
  </si>
  <si>
    <t>Kamenná vata pochôdzna</t>
  </si>
  <si>
    <t>XPS vypeňované HFC</t>
  </si>
  <si>
    <t>XPS vypeňované CO2</t>
  </si>
  <si>
    <t>Penové sklo (drvené a komprimované 1,3)</t>
  </si>
  <si>
    <t>Kontaktná izolácia</t>
  </si>
  <si>
    <t>EPS fasádny</t>
  </si>
  <si>
    <t>EPS F</t>
  </si>
  <si>
    <t>EPS s grafitom</t>
  </si>
  <si>
    <t>Neopor</t>
  </si>
  <si>
    <t>Sklená vata fasádna</t>
  </si>
  <si>
    <t>Kamenná vlna fasádna</t>
  </si>
  <si>
    <t>Fasrock</t>
  </si>
  <si>
    <t>Minerálna pena</t>
  </si>
  <si>
    <t>Multipor</t>
  </si>
  <si>
    <t>Vákuová izolácia</t>
  </si>
  <si>
    <t>Korok</t>
  </si>
  <si>
    <t>Izolácia dutín</t>
  </si>
  <si>
    <t>Sklená vata</t>
  </si>
  <si>
    <t>Minerálna vlna</t>
  </si>
  <si>
    <t>Minerálna vlna fúkaná</t>
  </si>
  <si>
    <t>Perlit expandovaný sypaný</t>
  </si>
  <si>
    <t>Keramzit</t>
  </si>
  <si>
    <t>Celulóza (voľná)</t>
  </si>
  <si>
    <t>Celulóza (Strecha – sklon do 30°)</t>
  </si>
  <si>
    <t>Celulóza (Steny – sklon od 30°)</t>
  </si>
  <si>
    <t>Konopné rohože s PE vláknami</t>
  </si>
  <si>
    <t>Konopné rohože bez PE vlákien</t>
  </si>
  <si>
    <t>Ľanové rohože s PE vláknami</t>
  </si>
  <si>
    <t>Ľanové rohože bez PE vlákien</t>
  </si>
  <si>
    <t>Vlna</t>
  </si>
  <si>
    <t>Konope Flachs? PE spevnené</t>
  </si>
  <si>
    <t>Kamenná vlna</t>
  </si>
  <si>
    <t>PE mäkká pena</t>
  </si>
  <si>
    <t>Palubovka</t>
  </si>
  <si>
    <t>Linoleum</t>
  </si>
  <si>
    <t>Hotové parkety drevené</t>
  </si>
  <si>
    <t>Hotové parkety laminátové</t>
  </si>
  <si>
    <t>Keramická dlažba</t>
  </si>
  <si>
    <t>Anhydridový poter</t>
  </si>
  <si>
    <t>Liaty asfaltový poter</t>
  </si>
  <si>
    <t>Betónový poter</t>
  </si>
  <si>
    <t>Steny a stropy</t>
  </si>
  <si>
    <t>Sadrokartón protipožiarny</t>
  </si>
  <si>
    <t>Sadrokartón</t>
  </si>
  <si>
    <t>Sadrovláknitá doska</t>
  </si>
  <si>
    <t>Anhydridová omietka</t>
  </si>
  <si>
    <t>Vápenná omietka</t>
  </si>
  <si>
    <t>Trass vápenná omietka</t>
  </si>
  <si>
    <t>Vápennocementové omietky</t>
  </si>
  <si>
    <t>Vápenno-sadrové omietky</t>
  </si>
  <si>
    <t>Sadrové omietky</t>
  </si>
  <si>
    <t>Hlinené omietky</t>
  </si>
  <si>
    <t>Cementový prednástrek</t>
  </si>
  <si>
    <t>Trass-vápenný prednástrek</t>
  </si>
  <si>
    <t>Priľnavostný nástrek 2mm</t>
  </si>
  <si>
    <t>Disperzia vodouriediteľná</t>
  </si>
  <si>
    <t>Fasáda</t>
  </si>
  <si>
    <r>
      <t>váha kg/m</t>
    </r>
    <r>
      <rPr>
        <b/>
        <vertAlign val="superscript"/>
        <sz val="11"/>
        <rFont val="Arial"/>
        <family val="2"/>
      </rPr>
      <t>2</t>
    </r>
  </si>
  <si>
    <t>Tepelnoizolačné omietka s perlitom 30mm</t>
  </si>
  <si>
    <t>Fasádne lepidlo</t>
  </si>
  <si>
    <t>Fasádne lepidlo na drevovláknité dosky</t>
  </si>
  <si>
    <t>Sklotextílna mriežka</t>
  </si>
  <si>
    <t>Silikátová omietka so základom</t>
  </si>
  <si>
    <t>Silikónová omietka so základom</t>
  </si>
  <si>
    <t>Cementovláknitá doska, Eternit</t>
  </si>
  <si>
    <t>Drevený obklad</t>
  </si>
  <si>
    <t>Preglejka</t>
  </si>
  <si>
    <t>Medený plech</t>
  </si>
  <si>
    <t>Titánzinok</t>
  </si>
  <si>
    <t xml:space="preserve">Pozinkovaný plech </t>
  </si>
  <si>
    <t>Hliníkový plech s práškovou farbou</t>
  </si>
  <si>
    <t>Prášková farba</t>
  </si>
  <si>
    <t>Hliníkový plech eloxovaný</t>
  </si>
  <si>
    <t>Pálená hlinená škridla</t>
  </si>
  <si>
    <t>Betónová škridla</t>
  </si>
  <si>
    <t>EPDM</t>
  </si>
  <si>
    <t>Polymerbitumenová fólia</t>
  </si>
  <si>
    <t>Rôzne</t>
  </si>
  <si>
    <t>Stavebný papier</t>
  </si>
  <si>
    <t>PE fólia</t>
  </si>
  <si>
    <t>Jutovina</t>
  </si>
  <si>
    <t>Kovová mriežka</t>
  </si>
  <si>
    <t>Hliníková parozábrana</t>
  </si>
  <si>
    <t>Rákosová rohož (hrubá 2cm)</t>
  </si>
  <si>
    <t>Rákosová štukatérska rohož (riedka)</t>
  </si>
  <si>
    <t>Ťahokov (tenký)</t>
  </si>
  <si>
    <t>Kovová sietka obalená keramikou</t>
  </si>
  <si>
    <t>3 Sklo 4mm povrchovo upravené</t>
  </si>
  <si>
    <t>3 Sklo 6mm</t>
  </si>
  <si>
    <t>Argón 2 x 16mm</t>
  </si>
  <si>
    <t>Kryptón 2 x 12mm</t>
  </si>
  <si>
    <t>Rám okná (v m2, vyčítať plochu rámu z PHPP)</t>
  </si>
  <si>
    <t>Drevené</t>
  </si>
  <si>
    <t>Drevo s PUR jadrom</t>
  </si>
  <si>
    <t>Drevo hlinikové</t>
  </si>
  <si>
    <t>Drevo-hliník s jadrom z korku</t>
  </si>
  <si>
    <t xml:space="preserve">Drevo-hliník s PUR </t>
  </si>
  <si>
    <t>Plastové s PUR</t>
  </si>
  <si>
    <t>váha kg/bm</t>
  </si>
  <si>
    <t>PEI/bm</t>
  </si>
  <si>
    <r>
      <t>CO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>/bm</t>
    </r>
  </si>
  <si>
    <r>
      <t>SO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>/bm</t>
    </r>
  </si>
  <si>
    <t>PEI neobnoviteľný MJ/bm</t>
  </si>
  <si>
    <r>
      <t>GWP  kg CO</t>
    </r>
    <r>
      <rPr>
        <b/>
        <vertAlign val="subscript"/>
        <sz val="11"/>
        <rFont val="Arial"/>
        <family val="2"/>
      </rPr>
      <t>2</t>
    </r>
    <r>
      <rPr>
        <b/>
        <sz val="11"/>
        <rFont val="Arial"/>
        <family val="2"/>
      </rPr>
      <t>eq/bm</t>
    </r>
  </si>
  <si>
    <r>
      <t>AP kg SO</t>
    </r>
    <r>
      <rPr>
        <b/>
        <vertAlign val="subscript"/>
        <sz val="11"/>
        <rFont val="Arial"/>
        <family val="2"/>
      </rPr>
      <t>2</t>
    </r>
    <r>
      <rPr>
        <b/>
        <sz val="11"/>
        <rFont val="Arial"/>
        <family val="2"/>
      </rPr>
      <t>eq/bm</t>
    </r>
  </si>
  <si>
    <t>Dištančné rámiky</t>
  </si>
  <si>
    <t>Nerez 16mm</t>
  </si>
  <si>
    <t>Thermix 16mm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</si>
</sst>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.00"/>
    <numFmt numFmtId="166" formatCode="0.00"/>
    <numFmt numFmtId="167" formatCode="0"/>
    <numFmt numFmtId="168" formatCode="0.000"/>
    <numFmt numFmtId="169" formatCode="0.00000"/>
    <numFmt numFmtId="170" formatCode="0.0000"/>
    <numFmt numFmtId="171" formatCode="@"/>
  </numFmts>
  <fonts count="20">
    <font>
      <sz val="10"/>
      <name val="Arial"/>
      <family val="2"/>
    </font>
    <font>
      <sz val="10"/>
      <name val="Helv"/>
      <family val="2"/>
    </font>
    <font>
      <sz val="10"/>
      <name val="MS Sans Serif"/>
      <family val="2"/>
    </font>
    <font>
      <b/>
      <sz val="1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b/>
      <sz val="16"/>
      <name val="Arial"/>
      <family val="2"/>
    </font>
    <font>
      <b/>
      <vertAlign val="subscript"/>
      <sz val="16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vertAlign val="subscript"/>
      <sz val="11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1"/>
      <color indexed="12"/>
      <name val="Arial"/>
      <family val="2"/>
    </font>
    <font>
      <b/>
      <vertAlign val="superscript"/>
      <sz val="11"/>
      <name val="Arial"/>
      <family val="2"/>
    </font>
    <font>
      <sz val="11"/>
      <color indexed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2" fillId="0" borderId="0">
      <alignment/>
      <protection/>
    </xf>
  </cellStyleXfs>
  <cellXfs count="136">
    <xf numFmtId="164" fontId="0" fillId="0" borderId="0" xfId="0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5" fillId="2" borderId="0" xfId="0" applyFont="1" applyFill="1" applyAlignment="1">
      <alignment horizontal="right"/>
    </xf>
    <xf numFmtId="164" fontId="4" fillId="2" borderId="0" xfId="0" applyFont="1" applyFill="1" applyAlignment="1">
      <alignment horizontal="center" vertical="center"/>
    </xf>
    <xf numFmtId="164" fontId="5" fillId="0" borderId="0" xfId="0" applyFont="1" applyAlignment="1">
      <alignment horizontal="right"/>
    </xf>
    <xf numFmtId="164" fontId="4" fillId="0" borderId="0" xfId="0" applyFont="1" applyAlignment="1">
      <alignment horizontal="center" vertical="center"/>
    </xf>
    <xf numFmtId="164" fontId="6" fillId="3" borderId="0" xfId="0" applyFont="1" applyFill="1" applyAlignment="1">
      <alignment/>
    </xf>
    <xf numFmtId="165" fontId="7" fillId="3" borderId="0" xfId="0" applyNumberFormat="1" applyFont="1" applyFill="1" applyAlignment="1">
      <alignment horizontal="right" wrapText="1"/>
    </xf>
    <xf numFmtId="166" fontId="7" fillId="3" borderId="0" xfId="0" applyNumberFormat="1" applyFont="1" applyFill="1" applyAlignment="1">
      <alignment horizontal="right" wrapText="1"/>
    </xf>
    <xf numFmtId="164" fontId="0" fillId="3" borderId="0" xfId="0" applyFill="1" applyAlignment="1">
      <alignment/>
    </xf>
    <xf numFmtId="164" fontId="5" fillId="4" borderId="0" xfId="0" applyFont="1" applyFill="1" applyAlignment="1">
      <alignment/>
    </xf>
    <xf numFmtId="166" fontId="8" fillId="4" borderId="0" xfId="0" applyNumberFormat="1" applyFont="1" applyFill="1" applyAlignment="1">
      <alignment horizontal="center" vertical="center" wrapText="1"/>
    </xf>
    <xf numFmtId="164" fontId="7" fillId="4" borderId="0" xfId="0" applyFont="1" applyFill="1" applyAlignment="1">
      <alignment/>
    </xf>
    <xf numFmtId="166" fontId="7" fillId="4" borderId="0" xfId="0" applyNumberFormat="1" applyFont="1" applyFill="1" applyAlignment="1">
      <alignment horizontal="right" wrapText="1"/>
    </xf>
    <xf numFmtId="164" fontId="7" fillId="0" borderId="0" xfId="0" applyFont="1" applyAlignment="1">
      <alignment/>
    </xf>
    <xf numFmtId="164" fontId="7" fillId="0" borderId="0" xfId="0" applyFont="1" applyFill="1" applyAlignment="1">
      <alignment/>
    </xf>
    <xf numFmtId="164" fontId="0" fillId="2" borderId="0" xfId="0" applyFill="1" applyAlignment="1">
      <alignment/>
    </xf>
    <xf numFmtId="164" fontId="0" fillId="0" borderId="0" xfId="0" applyFill="1" applyAlignment="1">
      <alignment/>
    </xf>
    <xf numFmtId="166" fontId="7" fillId="2" borderId="0" xfId="0" applyNumberFormat="1" applyFont="1" applyFill="1" applyAlignment="1">
      <alignment horizontal="right" wrapText="1"/>
    </xf>
    <xf numFmtId="166" fontId="7" fillId="0" borderId="0" xfId="0" applyNumberFormat="1" applyFont="1" applyFill="1" applyAlignment="1">
      <alignment horizontal="right" wrapText="1"/>
    </xf>
    <xf numFmtId="164" fontId="10" fillId="0" borderId="0" xfId="0" applyFont="1" applyAlignment="1">
      <alignment/>
    </xf>
    <xf numFmtId="164" fontId="6" fillId="2" borderId="0" xfId="0" applyFont="1" applyFill="1" applyAlignment="1">
      <alignment horizontal="right"/>
    </xf>
    <xf numFmtId="164" fontId="6" fillId="0" borderId="0" xfId="0" applyFont="1" applyAlignment="1">
      <alignment horizontal="right"/>
    </xf>
    <xf numFmtId="167" fontId="0" fillId="2" borderId="0" xfId="0" applyNumberFormat="1" applyFill="1" applyAlignment="1">
      <alignment/>
    </xf>
    <xf numFmtId="167" fontId="0" fillId="0" borderId="0" xfId="0" applyNumberFormat="1" applyAlignment="1">
      <alignment/>
    </xf>
    <xf numFmtId="164" fontId="4" fillId="2" borderId="0" xfId="0" applyFont="1" applyFill="1" applyAlignment="1">
      <alignment/>
    </xf>
    <xf numFmtId="167" fontId="4" fillId="4" borderId="0" xfId="0" applyNumberFormat="1" applyFont="1" applyFill="1" applyAlignment="1">
      <alignment/>
    </xf>
    <xf numFmtId="167" fontId="4" fillId="2" borderId="0" xfId="0" applyNumberFormat="1" applyFont="1" applyFill="1" applyAlignment="1">
      <alignment/>
    </xf>
    <xf numFmtId="167" fontId="4" fillId="0" borderId="0" xfId="0" applyNumberFormat="1" applyFont="1" applyAlignment="1">
      <alignment/>
    </xf>
    <xf numFmtId="164" fontId="0" fillId="0" borderId="0" xfId="0" applyAlignment="1">
      <alignment horizontal="center"/>
    </xf>
    <xf numFmtId="164" fontId="11" fillId="0" borderId="0" xfId="0" applyFont="1" applyAlignment="1">
      <alignment/>
    </xf>
    <xf numFmtId="164" fontId="11" fillId="0" borderId="0" xfId="0" applyFont="1" applyFill="1" applyAlignment="1">
      <alignment/>
    </xf>
    <xf numFmtId="164" fontId="0" fillId="0" borderId="0" xfId="0" applyNumberFormat="1" applyAlignment="1">
      <alignment/>
    </xf>
    <xf numFmtId="166" fontId="0" fillId="0" borderId="0" xfId="0" applyNumberFormat="1" applyAlignment="1">
      <alignment/>
    </xf>
    <xf numFmtId="164" fontId="12" fillId="0" borderId="0" xfId="0" applyFont="1" applyAlignment="1">
      <alignment/>
    </xf>
    <xf numFmtId="164" fontId="13" fillId="5" borderId="0" xfId="0" applyFont="1" applyFill="1" applyAlignment="1">
      <alignment horizontal="center" vertical="center"/>
    </xf>
    <xf numFmtId="164" fontId="5" fillId="4" borderId="0" xfId="0" applyFont="1" applyFill="1" applyAlignment="1">
      <alignment horizontal="center"/>
    </xf>
    <xf numFmtId="164" fontId="5" fillId="4" borderId="0" xfId="0" applyFont="1" applyFill="1" applyAlignment="1">
      <alignment textRotation="90"/>
    </xf>
    <xf numFmtId="164" fontId="5" fillId="4" borderId="0" xfId="0" applyNumberFormat="1" applyFont="1" applyFill="1" applyAlignment="1">
      <alignment/>
    </xf>
    <xf numFmtId="164" fontId="5" fillId="4" borderId="0" xfId="0" applyNumberFormat="1" applyFont="1" applyFill="1" applyAlignment="1">
      <alignment wrapText="1"/>
    </xf>
    <xf numFmtId="166" fontId="5" fillId="4" borderId="0" xfId="0" applyNumberFormat="1" applyFont="1" applyFill="1" applyAlignment="1">
      <alignment horizontal="right" wrapText="1"/>
    </xf>
    <xf numFmtId="164" fontId="6" fillId="6" borderId="0" xfId="0" applyFont="1" applyFill="1" applyAlignment="1">
      <alignment/>
    </xf>
    <xf numFmtId="164" fontId="10" fillId="6" borderId="0" xfId="0" applyFont="1" applyFill="1" applyAlignment="1">
      <alignment/>
    </xf>
    <xf numFmtId="164" fontId="10" fillId="6" borderId="0" xfId="0" applyFont="1" applyFill="1" applyAlignment="1">
      <alignment horizontal="center"/>
    </xf>
    <xf numFmtId="164" fontId="10" fillId="6" borderId="0" xfId="0" applyNumberFormat="1" applyFont="1" applyFill="1" applyAlignment="1">
      <alignment/>
    </xf>
    <xf numFmtId="166" fontId="5" fillId="6" borderId="0" xfId="0" applyNumberFormat="1" applyFont="1" applyFill="1" applyAlignment="1">
      <alignment/>
    </xf>
    <xf numFmtId="164" fontId="0" fillId="0" borderId="0" xfId="0" applyFont="1" applyAlignment="1">
      <alignment horizontal="right"/>
    </xf>
    <xf numFmtId="164" fontId="11" fillId="0" borderId="0" xfId="0" applyFont="1" applyAlignment="1">
      <alignment horizontal="right"/>
    </xf>
    <xf numFmtId="164" fontId="11" fillId="0" borderId="0" xfId="0" applyFont="1" applyFill="1" applyAlignment="1">
      <alignment horizontal="right"/>
    </xf>
    <xf numFmtId="164" fontId="0" fillId="5" borderId="0" xfId="0" applyFill="1" applyAlignment="1">
      <alignment/>
    </xf>
    <xf numFmtId="164" fontId="0" fillId="5" borderId="0" xfId="0" applyFill="1" applyAlignment="1">
      <alignment horizontal="center"/>
    </xf>
    <xf numFmtId="164" fontId="11" fillId="5" borderId="0" xfId="0" applyFont="1" applyFill="1" applyAlignment="1">
      <alignment/>
    </xf>
    <xf numFmtId="164" fontId="0" fillId="0" borderId="0" xfId="0" applyFill="1" applyAlignment="1">
      <alignment horizontal="center"/>
    </xf>
    <xf numFmtId="164" fontId="0" fillId="5" borderId="0" xfId="0" applyNumberFormat="1" applyFill="1" applyAlignment="1">
      <alignment/>
    </xf>
    <xf numFmtId="167" fontId="11" fillId="0" borderId="0" xfId="0" applyNumberFormat="1" applyFont="1" applyFill="1" applyAlignment="1">
      <alignment/>
    </xf>
    <xf numFmtId="164" fontId="0" fillId="0" borderId="0" xfId="0" applyNumberFormat="1" applyFill="1" applyAlignment="1">
      <alignment/>
    </xf>
    <xf numFmtId="166" fontId="0" fillId="0" borderId="0" xfId="0" applyNumberFormat="1" applyFill="1" applyAlignment="1">
      <alignment/>
    </xf>
    <xf numFmtId="164" fontId="0" fillId="0" borderId="0" xfId="0" applyFont="1" applyAlignment="1">
      <alignment horizontal="left" indent="1"/>
    </xf>
    <xf numFmtId="164" fontId="0" fillId="0" borderId="0" xfId="0" applyFont="1" applyFill="1" applyAlignment="1">
      <alignment horizontal="left" indent="1"/>
    </xf>
    <xf numFmtId="164" fontId="0" fillId="5" borderId="0" xfId="0" applyFont="1" applyFill="1" applyAlignment="1">
      <alignment horizontal="left" indent="1"/>
    </xf>
    <xf numFmtId="164" fontId="0" fillId="7" borderId="0" xfId="0" applyFont="1" applyFill="1" applyAlignment="1">
      <alignment horizontal="left" indent="1"/>
    </xf>
    <xf numFmtId="164" fontId="0" fillId="0" borderId="0" xfId="0" applyNumberFormat="1" applyAlignment="1">
      <alignment horizontal="left" indent="1"/>
    </xf>
    <xf numFmtId="164" fontId="0" fillId="0" borderId="0" xfId="0" applyFill="1" applyAlignment="1">
      <alignment horizontal="right"/>
    </xf>
    <xf numFmtId="168" fontId="0" fillId="5" borderId="0" xfId="0" applyNumberFormat="1" applyFill="1" applyAlignment="1">
      <alignment/>
    </xf>
    <xf numFmtId="168" fontId="0" fillId="0" borderId="0" xfId="0" applyNumberFormat="1" applyFill="1" applyAlignment="1">
      <alignment/>
    </xf>
    <xf numFmtId="164" fontId="11" fillId="0" borderId="0" xfId="0" applyNumberFormat="1" applyFont="1" applyAlignment="1">
      <alignment/>
    </xf>
    <xf numFmtId="164" fontId="11" fillId="0" borderId="0" xfId="0" applyNumberFormat="1" applyFont="1" applyFill="1" applyAlignment="1">
      <alignment/>
    </xf>
    <xf numFmtId="164" fontId="4" fillId="0" borderId="0" xfId="0" applyFont="1" applyAlignment="1">
      <alignment horizontal="left"/>
    </xf>
    <xf numFmtId="168" fontId="4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169" fontId="4" fillId="0" borderId="0" xfId="0" applyNumberFormat="1" applyFont="1" applyAlignment="1">
      <alignment/>
    </xf>
    <xf numFmtId="166" fontId="4" fillId="8" borderId="0" xfId="0" applyNumberFormat="1" applyFont="1" applyFill="1" applyAlignment="1">
      <alignment/>
    </xf>
    <xf numFmtId="168" fontId="4" fillId="8" borderId="0" xfId="0" applyNumberFormat="1" applyFont="1" applyFill="1" applyAlignment="1">
      <alignment/>
    </xf>
    <xf numFmtId="170" fontId="4" fillId="2" borderId="0" xfId="0" applyNumberFormat="1" applyFont="1" applyFill="1" applyAlignment="1">
      <alignment/>
    </xf>
    <xf numFmtId="164" fontId="5" fillId="0" borderId="0" xfId="0" applyFont="1" applyAlignment="1">
      <alignment horizontal="left"/>
    </xf>
    <xf numFmtId="164" fontId="4" fillId="0" borderId="0" xfId="0" applyFont="1" applyFill="1" applyAlignment="1">
      <alignment/>
    </xf>
    <xf numFmtId="166" fontId="4" fillId="0" borderId="0" xfId="0" applyNumberFormat="1" applyFont="1" applyFill="1" applyAlignment="1">
      <alignment/>
    </xf>
    <xf numFmtId="168" fontId="4" fillId="0" borderId="0" xfId="0" applyNumberFormat="1" applyFont="1" applyFill="1" applyAlignment="1">
      <alignment/>
    </xf>
    <xf numFmtId="170" fontId="4" fillId="0" borderId="0" xfId="0" applyNumberFormat="1" applyFont="1" applyFill="1" applyAlignment="1">
      <alignment/>
    </xf>
    <xf numFmtId="164" fontId="4" fillId="0" borderId="0" xfId="0" applyFont="1" applyFill="1" applyAlignment="1">
      <alignment horizontal="center" vertical="center"/>
    </xf>
    <xf numFmtId="166" fontId="4" fillId="0" borderId="0" xfId="0" applyNumberFormat="1" applyFont="1" applyFill="1" applyAlignment="1">
      <alignment horizontal="center" vertical="center"/>
    </xf>
    <xf numFmtId="164" fontId="0" fillId="4" borderId="0" xfId="0" applyFill="1" applyAlignment="1">
      <alignment/>
    </xf>
    <xf numFmtId="164" fontId="12" fillId="4" borderId="0" xfId="0" applyFont="1" applyFill="1" applyAlignment="1">
      <alignment wrapText="1"/>
    </xf>
    <xf numFmtId="171" fontId="5" fillId="4" borderId="0" xfId="0" applyNumberFormat="1" applyFont="1" applyFill="1" applyAlignment="1">
      <alignment horizontal="left" wrapText="1"/>
    </xf>
    <xf numFmtId="171" fontId="5" fillId="4" borderId="0" xfId="0" applyNumberFormat="1" applyFont="1" applyFill="1" applyAlignment="1">
      <alignment horizontal="right" wrapText="1"/>
    </xf>
    <xf numFmtId="168" fontId="5" fillId="4" borderId="0" xfId="0" applyNumberFormat="1" applyFont="1" applyFill="1" applyAlignment="1">
      <alignment horizontal="right" wrapText="1"/>
    </xf>
    <xf numFmtId="169" fontId="5" fillId="4" borderId="0" xfId="0" applyNumberFormat="1" applyFont="1" applyFill="1" applyAlignment="1">
      <alignment horizontal="right" wrapText="1"/>
    </xf>
    <xf numFmtId="171" fontId="5" fillId="4" borderId="0" xfId="0" applyNumberFormat="1" applyFont="1" applyFill="1" applyAlignment="1">
      <alignment horizontal="center" wrapText="1"/>
    </xf>
    <xf numFmtId="171" fontId="5" fillId="4" borderId="0" xfId="0" applyNumberFormat="1" applyFont="1" applyFill="1" applyAlignment="1">
      <alignment wrapText="1"/>
    </xf>
    <xf numFmtId="164" fontId="4" fillId="0" borderId="0" xfId="0" applyFont="1" applyAlignment="1">
      <alignment horizontal="left" indent="1"/>
    </xf>
    <xf numFmtId="166" fontId="4" fillId="2" borderId="0" xfId="0" applyNumberFormat="1" applyFont="1" applyFill="1" applyAlignment="1">
      <alignment/>
    </xf>
    <xf numFmtId="170" fontId="4" fillId="8" borderId="0" xfId="0" applyNumberFormat="1" applyFont="1" applyFill="1" applyAlignment="1">
      <alignment/>
    </xf>
    <xf numFmtId="164" fontId="4" fillId="0" borderId="0" xfId="0" applyFont="1" applyFill="1" applyAlignment="1">
      <alignment horizontal="left" indent="1"/>
    </xf>
    <xf numFmtId="164" fontId="4" fillId="0" borderId="0" xfId="0" applyFont="1" applyFill="1" applyAlignment="1">
      <alignment horizontal="left"/>
    </xf>
    <xf numFmtId="169" fontId="4" fillId="0" borderId="0" xfId="0" applyNumberFormat="1" applyFont="1" applyFill="1" applyAlignment="1">
      <alignment/>
    </xf>
    <xf numFmtId="164" fontId="12" fillId="4" borderId="0" xfId="0" applyFont="1" applyFill="1" applyAlignment="1">
      <alignment/>
    </xf>
    <xf numFmtId="164" fontId="4" fillId="0" borderId="0" xfId="0" applyFont="1" applyAlignment="1">
      <alignment horizontal="left" indent="2"/>
    </xf>
    <xf numFmtId="164" fontId="5" fillId="2" borderId="0" xfId="0" applyFont="1" applyFill="1" applyAlignment="1">
      <alignment/>
    </xf>
    <xf numFmtId="166" fontId="5" fillId="8" borderId="0" xfId="0" applyNumberFormat="1" applyFont="1" applyFill="1" applyAlignment="1">
      <alignment/>
    </xf>
    <xf numFmtId="168" fontId="5" fillId="8" borderId="0" xfId="0" applyNumberFormat="1" applyFont="1" applyFill="1" applyAlignment="1">
      <alignment/>
    </xf>
    <xf numFmtId="170" fontId="5" fillId="8" borderId="0" xfId="0" applyNumberFormat="1" applyFont="1" applyFill="1" applyAlignment="1">
      <alignment/>
    </xf>
    <xf numFmtId="164" fontId="5" fillId="4" borderId="0" xfId="0" applyFont="1" applyFill="1" applyAlignment="1">
      <alignment horizontal="left" wrapText="1"/>
    </xf>
    <xf numFmtId="164" fontId="5" fillId="4" borderId="0" xfId="0" applyFont="1" applyFill="1" applyAlignment="1">
      <alignment horizontal="right" wrapText="1"/>
    </xf>
    <xf numFmtId="164" fontId="5" fillId="4" borderId="0" xfId="0" applyFont="1" applyFill="1" applyAlignment="1">
      <alignment horizontal="center" wrapText="1"/>
    </xf>
    <xf numFmtId="164" fontId="5" fillId="4" borderId="0" xfId="0" applyFont="1" applyFill="1" applyAlignment="1">
      <alignment wrapText="1"/>
    </xf>
    <xf numFmtId="164" fontId="5" fillId="0" borderId="0" xfId="0" applyFont="1" applyAlignment="1">
      <alignment horizontal="left" indent="1"/>
    </xf>
    <xf numFmtId="164" fontId="5" fillId="0" borderId="0" xfId="0" applyFont="1" applyFill="1" applyAlignment="1">
      <alignment horizontal="center" wrapText="1"/>
    </xf>
    <xf numFmtId="164" fontId="5" fillId="0" borderId="0" xfId="0" applyFont="1" applyFill="1" applyAlignment="1">
      <alignment wrapText="1"/>
    </xf>
    <xf numFmtId="164" fontId="4" fillId="0" borderId="0" xfId="0" applyFont="1" applyFill="1" applyAlignment="1">
      <alignment horizontal="left" indent="2"/>
    </xf>
    <xf numFmtId="164" fontId="19" fillId="0" borderId="0" xfId="0" applyFont="1" applyFill="1" applyAlignment="1">
      <alignment/>
    </xf>
    <xf numFmtId="168" fontId="19" fillId="0" borderId="0" xfId="0" applyNumberFormat="1" applyFont="1" applyFill="1" applyAlignment="1">
      <alignment/>
    </xf>
    <xf numFmtId="166" fontId="19" fillId="0" borderId="0" xfId="0" applyNumberFormat="1" applyFont="1" applyFill="1" applyAlignment="1">
      <alignment/>
    </xf>
    <xf numFmtId="169" fontId="19" fillId="0" borderId="0" xfId="0" applyNumberFormat="1" applyFont="1" applyFill="1" applyAlignment="1">
      <alignment/>
    </xf>
    <xf numFmtId="166" fontId="19" fillId="2" borderId="0" xfId="0" applyNumberFormat="1" applyFont="1" applyFill="1" applyAlignment="1">
      <alignment/>
    </xf>
    <xf numFmtId="166" fontId="19" fillId="8" borderId="0" xfId="0" applyNumberFormat="1" applyFont="1" applyFill="1" applyAlignment="1">
      <alignment/>
    </xf>
    <xf numFmtId="168" fontId="19" fillId="8" borderId="0" xfId="0" applyNumberFormat="1" applyFont="1" applyFill="1" applyAlignment="1">
      <alignment/>
    </xf>
    <xf numFmtId="170" fontId="19" fillId="8" borderId="0" xfId="0" applyNumberFormat="1" applyFont="1" applyFill="1" applyAlignment="1">
      <alignment/>
    </xf>
    <xf numFmtId="164" fontId="12" fillId="4" borderId="0" xfId="0" applyFont="1" applyFill="1" applyAlignment="1">
      <alignment horizontal="left"/>
    </xf>
    <xf numFmtId="166" fontId="0" fillId="8" borderId="0" xfId="0" applyNumberFormat="1" applyFill="1" applyAlignment="1">
      <alignment/>
    </xf>
    <xf numFmtId="164" fontId="5" fillId="0" borderId="0" xfId="0" applyFont="1" applyFill="1" applyAlignment="1">
      <alignment horizontal="left" indent="1"/>
    </xf>
    <xf numFmtId="164" fontId="4" fillId="0" borderId="0" xfId="0" applyFont="1" applyAlignment="1">
      <alignment horizontal="right"/>
    </xf>
    <xf numFmtId="168" fontId="4" fillId="2" borderId="0" xfId="0" applyNumberFormat="1" applyFont="1" applyFill="1" applyAlignment="1">
      <alignment/>
    </xf>
    <xf numFmtId="169" fontId="4" fillId="2" borderId="0" xfId="0" applyNumberFormat="1" applyFont="1" applyFill="1" applyAlignment="1">
      <alignment/>
    </xf>
    <xf numFmtId="166" fontId="4" fillId="0" borderId="0" xfId="0" applyNumberFormat="1" applyFont="1" applyAlignment="1">
      <alignment horizontal="right"/>
    </xf>
    <xf numFmtId="169" fontId="4" fillId="8" borderId="0" xfId="0" applyNumberFormat="1" applyFont="1" applyFill="1" applyAlignment="1">
      <alignment/>
    </xf>
    <xf numFmtId="164" fontId="0" fillId="8" borderId="0" xfId="0" applyFill="1" applyAlignment="1">
      <alignment/>
    </xf>
    <xf numFmtId="164" fontId="0" fillId="0" borderId="0" xfId="0" applyFont="1" applyAlignment="1">
      <alignment horizontal="left" indent="2"/>
    </xf>
    <xf numFmtId="164" fontId="5" fillId="0" borderId="0" xfId="0" applyFont="1" applyAlignment="1">
      <alignment horizontal="left" wrapText="1" indent="1"/>
    </xf>
    <xf numFmtId="164" fontId="5" fillId="0" borderId="0" xfId="0" applyFont="1" applyFill="1" applyAlignment="1">
      <alignment horizontal="left" wrapText="1"/>
    </xf>
    <xf numFmtId="171" fontId="5" fillId="0" borderId="0" xfId="0" applyNumberFormat="1" applyFont="1" applyFill="1" applyAlignment="1">
      <alignment horizontal="right" wrapText="1"/>
    </xf>
    <xf numFmtId="166" fontId="5" fillId="0" borderId="0" xfId="0" applyNumberFormat="1" applyFont="1" applyFill="1" applyAlignment="1">
      <alignment horizontal="right" wrapText="1"/>
    </xf>
    <xf numFmtId="168" fontId="5" fillId="0" borderId="0" xfId="0" applyNumberFormat="1" applyFont="1" applyFill="1" applyAlignment="1">
      <alignment horizontal="right" wrapText="1"/>
    </xf>
    <xf numFmtId="169" fontId="5" fillId="0" borderId="0" xfId="0" applyNumberFormat="1" applyFont="1" applyFill="1" applyAlignment="1">
      <alignment horizontal="right" wrapText="1"/>
    </xf>
    <xf numFmtId="164" fontId="5" fillId="0" borderId="0" xfId="0" applyFont="1" applyAlignment="1">
      <alignment horizontal="center" wrapText="1"/>
    </xf>
    <xf numFmtId="164" fontId="5" fillId="0" borderId="0" xfId="0" applyFont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Standard_HWB Kurzverf. Formular (2)" xfId="20"/>
    <cellStyle name="Standard_HWB Kurzverf. Formular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oebox.at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0"/>
  <sheetViews>
    <sheetView tabSelected="1" zoomScale="64" zoomScaleNormal="64" workbookViewId="0" topLeftCell="A1">
      <selection activeCell="J42" sqref="J42"/>
    </sheetView>
  </sheetViews>
  <sheetFormatPr defaultColWidth="12.57421875" defaultRowHeight="12.75"/>
  <cols>
    <col min="1" max="1" width="29.57421875" style="0" customWidth="1"/>
    <col min="2" max="7" width="17.00390625" style="0" customWidth="1"/>
    <col min="8" max="16384" width="11.57421875" style="0" customWidth="1"/>
  </cols>
  <sheetData>
    <row r="2" ht="21.75">
      <c r="A2" s="1" t="s">
        <v>0</v>
      </c>
    </row>
    <row r="3" spans="2:7" s="2" customFormat="1" ht="13.5">
      <c r="B3" s="3" t="s">
        <v>1</v>
      </c>
      <c r="C3" s="4" t="str">
        <f>('VAR 1'!B1)</f>
        <v>EKOLOGICKÁ KONŠTRUKCIA</v>
      </c>
      <c r="D3" s="4"/>
      <c r="E3" s="5" t="s">
        <v>2</v>
      </c>
      <c r="F3" s="6" t="str">
        <f>('VAR 2'!B1)</f>
        <v>KLASICKÁ KONŠTRUKCIA</v>
      </c>
      <c r="G3" s="6"/>
    </row>
    <row r="5" spans="1:7" ht="15.75">
      <c r="A5" s="7" t="s">
        <v>3</v>
      </c>
      <c r="B5" s="8">
        <f>SUM((B9-C9))</f>
        <v>-525739.4704839474</v>
      </c>
      <c r="C5" s="7" t="s">
        <v>4</v>
      </c>
      <c r="D5" s="8">
        <f>SUM((D9-E9))</f>
        <v>-98734.21627627633</v>
      </c>
      <c r="E5" s="7" t="s">
        <v>5</v>
      </c>
      <c r="F5" s="8">
        <f>SUM((F9-G9))</f>
        <v>-101.02802269223682</v>
      </c>
      <c r="G5" s="7" t="s">
        <v>6</v>
      </c>
    </row>
    <row r="6" spans="1:7" ht="15.75">
      <c r="A6" s="7"/>
      <c r="B6" s="8">
        <f>SUM((B5*0.27777778))</f>
        <v>-146038.74296940645</v>
      </c>
      <c r="C6" s="7" t="s">
        <v>7</v>
      </c>
      <c r="D6" s="9"/>
      <c r="E6" s="7"/>
      <c r="F6" s="9"/>
      <c r="G6" s="10"/>
    </row>
    <row r="8" spans="1:7" ht="22.5">
      <c r="A8" s="11" t="s">
        <v>8</v>
      </c>
      <c r="B8" s="12" t="s">
        <v>9</v>
      </c>
      <c r="C8" s="12"/>
      <c r="D8" s="12" t="s">
        <v>10</v>
      </c>
      <c r="E8" s="12"/>
      <c r="F8" s="12" t="s">
        <v>11</v>
      </c>
      <c r="G8" s="12"/>
    </row>
    <row r="9" spans="1:7" s="15" customFormat="1" ht="15.75">
      <c r="A9" s="13"/>
      <c r="B9" s="14">
        <f>SUM(B13:B32)</f>
        <v>513284.9308810526</v>
      </c>
      <c r="C9" s="14">
        <f>SUM(C13:C32)</f>
        <v>1039024.401365</v>
      </c>
      <c r="D9" s="14">
        <f>SUM(D13:D32)</f>
        <v>-32880.44804052633</v>
      </c>
      <c r="E9" s="14">
        <f>SUM(E13:E32)</f>
        <v>65853.76823575</v>
      </c>
      <c r="F9" s="14">
        <f>SUM(F13:F32)</f>
        <v>190.14380383526318</v>
      </c>
      <c r="G9" s="14">
        <f>SUM(G13:G32)</f>
        <v>291.1718265275</v>
      </c>
    </row>
    <row r="10" spans="1:6" s="15" customFormat="1" ht="15.75">
      <c r="A10" s="16"/>
      <c r="B10" s="17"/>
      <c r="C10" s="18"/>
      <c r="D10" s="19"/>
      <c r="E10" s="20"/>
      <c r="F10" s="19"/>
    </row>
    <row r="11" spans="2:7" s="21" customFormat="1" ht="15">
      <c r="B11" s="22" t="s">
        <v>1</v>
      </c>
      <c r="C11" s="23" t="s">
        <v>2</v>
      </c>
      <c r="D11" s="22" t="s">
        <v>1</v>
      </c>
      <c r="E11" s="23" t="s">
        <v>2</v>
      </c>
      <c r="F11" s="22" t="s">
        <v>1</v>
      </c>
      <c r="G11" s="23" t="s">
        <v>2</v>
      </c>
    </row>
    <row r="12" spans="2:6" ht="12.75">
      <c r="B12" s="24"/>
      <c r="C12" s="25"/>
      <c r="D12" s="24"/>
      <c r="E12" s="25"/>
      <c r="F12" s="24"/>
    </row>
    <row r="13" spans="1:7" ht="13.5">
      <c r="A13" s="26" t="str">
        <f>'VAR 1'!A5</f>
        <v>Základanie</v>
      </c>
      <c r="B13" s="27">
        <f>'VAR 1'!O5</f>
        <v>94450.63</v>
      </c>
      <c r="C13" s="28">
        <f>'VAR 2'!O5</f>
        <v>111433.99</v>
      </c>
      <c r="D13" s="27">
        <f>'VAR 1'!P5</f>
        <v>8574.007</v>
      </c>
      <c r="E13" s="28">
        <f>'VAR 2'!P5</f>
        <v>13072.118400000001</v>
      </c>
      <c r="F13" s="27">
        <f>'VAR 1'!Q5</f>
        <v>34.419377999999995</v>
      </c>
      <c r="G13" s="28">
        <f>'VAR 2'!Q5</f>
        <v>42.199480400000006</v>
      </c>
    </row>
    <row r="14" spans="1:7" ht="13.5">
      <c r="A14" s="2"/>
      <c r="B14" s="28"/>
      <c r="C14" s="29"/>
      <c r="D14" s="28"/>
      <c r="E14" s="29"/>
      <c r="F14" s="28"/>
      <c r="G14" s="29"/>
    </row>
    <row r="15" spans="1:7" ht="13.5">
      <c r="A15" s="26" t="str">
        <f>'VAR 1'!A49</f>
        <v>Tepelná izolácia základov</v>
      </c>
      <c r="B15" s="27">
        <f>'VAR 1'!O49</f>
        <v>85671.08549999999</v>
      </c>
      <c r="C15" s="28">
        <f>'VAR 2'!O49</f>
        <v>95590.22000000002</v>
      </c>
      <c r="D15" s="27">
        <f>'VAR 1'!P49</f>
        <v>4261.57004</v>
      </c>
      <c r="E15" s="28">
        <f>'VAR 2'!P49</f>
        <v>3267.6146000000003</v>
      </c>
      <c r="F15" s="27">
        <f>'VAR 1'!Q49</f>
        <v>17.1670681</v>
      </c>
      <c r="G15" s="28">
        <f>'VAR 2'!Q49</f>
        <v>20.167034</v>
      </c>
    </row>
    <row r="16" spans="1:7" ht="13.5">
      <c r="A16" s="2"/>
      <c r="B16" s="28"/>
      <c r="C16" s="29"/>
      <c r="D16" s="28"/>
      <c r="E16" s="29"/>
      <c r="F16" s="28"/>
      <c r="G16" s="29"/>
    </row>
    <row r="17" spans="1:7" ht="13.5">
      <c r="A17" s="26" t="str">
        <f>('VAR 1'!A60)</f>
        <v>Nosné steny</v>
      </c>
      <c r="B17" s="27">
        <f>'VAR 1'!O60</f>
        <v>30158.5</v>
      </c>
      <c r="C17" s="28">
        <f>'VAR 2'!O60</f>
        <v>135514.5264</v>
      </c>
      <c r="D17" s="27">
        <f>'VAR 1'!P60</f>
        <v>-15036.5</v>
      </c>
      <c r="E17" s="28">
        <f>'VAR 2'!P60</f>
        <v>10505.87892</v>
      </c>
      <c r="F17" s="27">
        <f>'VAR 1'!Q60</f>
        <v>16.995150000000002</v>
      </c>
      <c r="G17" s="28">
        <f>'VAR 2'!Q60</f>
        <v>34.83523944</v>
      </c>
    </row>
    <row r="18" spans="1:7" ht="13.5">
      <c r="A18" s="2"/>
      <c r="B18" s="28"/>
      <c r="C18" s="29"/>
      <c r="D18" s="28"/>
      <c r="E18" s="29"/>
      <c r="F18" s="28"/>
      <c r="G18" s="29"/>
    </row>
    <row r="19" spans="1:7" ht="13.5">
      <c r="A19" s="26" t="str">
        <f>'VAR 1'!A89</f>
        <v>Priečky</v>
      </c>
      <c r="B19" s="27">
        <f>'VAR 1'!O89</f>
        <v>15214.500000000002</v>
      </c>
      <c r="C19" s="28">
        <f>'VAR 2'!O89</f>
        <v>32987.52</v>
      </c>
      <c r="D19" s="27">
        <f>'VAR 1'!P89</f>
        <v>-7711.200000000001</v>
      </c>
      <c r="E19" s="28">
        <f>'VAR 2'!P89</f>
        <v>2331.6479999999997</v>
      </c>
      <c r="F19" s="27">
        <f>'VAR 1'!Q89</f>
        <v>8.64675</v>
      </c>
      <c r="G19" s="28">
        <f>'VAR 2'!Q89</f>
        <v>7.2863999999999995</v>
      </c>
    </row>
    <row r="20" spans="1:7" ht="13.5">
      <c r="A20" s="2"/>
      <c r="B20" s="28"/>
      <c r="C20" s="29"/>
      <c r="D20" s="28"/>
      <c r="E20" s="29"/>
      <c r="F20" s="28"/>
      <c r="G20" s="29"/>
    </row>
    <row r="21" spans="1:7" ht="13.5">
      <c r="A21" s="26" t="str">
        <f>'VAR 1'!A111</f>
        <v>Strop</v>
      </c>
      <c r="B21" s="27">
        <f>'VAR 1'!O111</f>
        <v>37734.69672000001</v>
      </c>
      <c r="C21" s="28">
        <f>'VAR 2'!O111</f>
        <v>86992.03656</v>
      </c>
      <c r="D21" s="27">
        <f>'VAR 1'!P111</f>
        <v>-5597.960382000001</v>
      </c>
      <c r="E21" s="28">
        <f>'VAR 2'!P111</f>
        <v>8554.590468</v>
      </c>
      <c r="F21" s="27">
        <f>'VAR 1'!Q111</f>
        <v>16.306772580000004</v>
      </c>
      <c r="G21" s="28">
        <f>'VAR 2'!Q111</f>
        <v>32.579649576</v>
      </c>
    </row>
    <row r="22" spans="1:7" ht="13.5">
      <c r="A22" s="2"/>
      <c r="B22" s="28"/>
      <c r="C22" s="29"/>
      <c r="D22" s="28"/>
      <c r="E22" s="29"/>
      <c r="F22" s="28"/>
      <c r="G22" s="29"/>
    </row>
    <row r="23" spans="1:7" ht="13.5">
      <c r="A23" s="26" t="str">
        <f>'VAR 1'!A133</f>
        <v>Strecha</v>
      </c>
      <c r="B23" s="27">
        <f>'VAR 1'!O133</f>
        <v>61214.04656105262</v>
      </c>
      <c r="C23" s="28">
        <f>'VAR 2'!O133</f>
        <v>105060.57948000001</v>
      </c>
      <c r="D23" s="27">
        <f>'VAR 1'!P133</f>
        <v>-5672.160168526316</v>
      </c>
      <c r="E23" s="28">
        <f>'VAR 2'!P133</f>
        <v>8181.711504</v>
      </c>
      <c r="F23" s="27">
        <f>'VAR 1'!Q133</f>
        <v>23.407018605263158</v>
      </c>
      <c r="G23" s="28">
        <f>'VAR 2'!Q133</f>
        <v>36.79254650400001</v>
      </c>
    </row>
    <row r="24" spans="1:7" ht="13.5">
      <c r="A24" s="2"/>
      <c r="B24" s="28"/>
      <c r="C24" s="29"/>
      <c r="D24" s="28"/>
      <c r="E24" s="29"/>
      <c r="F24" s="28"/>
      <c r="G24" s="29"/>
    </row>
    <row r="25" spans="1:7" ht="13.5">
      <c r="A25" s="26" t="str">
        <f>'VAR 1'!A182</f>
        <v>Tepelná izolácia</v>
      </c>
      <c r="B25" s="27">
        <f>'VAR 1'!O182</f>
        <v>59421.075000000004</v>
      </c>
      <c r="C25" s="28">
        <f>'VAR 2'!O182</f>
        <v>317787.188325</v>
      </c>
      <c r="D25" s="27">
        <f>'VAR 1'!P182</f>
        <v>-7666.4175</v>
      </c>
      <c r="E25" s="28">
        <f>'VAR 2'!P182</f>
        <v>10838.66146375</v>
      </c>
      <c r="F25" s="27">
        <f>'VAR 1'!Q182</f>
        <v>28.823025000000005</v>
      </c>
      <c r="G25" s="28">
        <f>'VAR 2'!Q182</f>
        <v>67.6170698075</v>
      </c>
    </row>
    <row r="26" spans="1:7" ht="13.5">
      <c r="A26" s="2"/>
      <c r="B26" s="28"/>
      <c r="C26" s="29"/>
      <c r="D26" s="28"/>
      <c r="E26" s="29"/>
      <c r="F26" s="28"/>
      <c r="G26" s="29"/>
    </row>
    <row r="27" spans="1:7" ht="13.5">
      <c r="A27" s="26" t="str">
        <f>('VAR 1'!A236)</f>
        <v>Fasádny plášť</v>
      </c>
      <c r="B27" s="27">
        <f>'VAR 1'!O236</f>
        <v>53723.9135</v>
      </c>
      <c r="C27" s="28">
        <f>'VAR 2'!O236</f>
        <v>17270.825</v>
      </c>
      <c r="D27" s="27">
        <f>'VAR 1'!P236</f>
        <v>-4779.7477</v>
      </c>
      <c r="E27" s="28">
        <f>'VAR 2'!P236</f>
        <v>893.7350000000001</v>
      </c>
      <c r="F27" s="27">
        <f>'VAR 1'!Q236</f>
        <v>18.66858465</v>
      </c>
      <c r="G27" s="28">
        <f>'VAR 2'!Q236</f>
        <v>3.9855750000000003</v>
      </c>
    </row>
    <row r="28" spans="1:7" ht="13.5">
      <c r="A28" s="2"/>
      <c r="B28" s="28"/>
      <c r="C28" s="29"/>
      <c r="D28" s="28"/>
      <c r="E28" s="29"/>
      <c r="F28" s="28"/>
      <c r="G28" s="29"/>
    </row>
    <row r="29" spans="1:7" ht="13.5">
      <c r="A29" s="26" t="str">
        <f>'VAR 1'!A262</f>
        <v>Povrchy</v>
      </c>
      <c r="B29" s="27">
        <f>'VAR 1'!O262</f>
        <v>55255.70360000001</v>
      </c>
      <c r="C29" s="28">
        <f>'VAR 2'!O262</f>
        <v>98484.59059999998</v>
      </c>
      <c r="D29" s="27">
        <f>'VAR 1'!P262</f>
        <v>-200.11233000000001</v>
      </c>
      <c r="E29" s="28">
        <f>'VAR 2'!P262</f>
        <v>6162.97238</v>
      </c>
      <c r="F29" s="27">
        <f>'VAR 1'!Q262</f>
        <v>21.393306900000006</v>
      </c>
      <c r="G29" s="28">
        <f>'VAR 2'!Q262</f>
        <v>37.9033418</v>
      </c>
    </row>
    <row r="30" spans="1:7" ht="13.5">
      <c r="A30" s="2"/>
      <c r="B30" s="28"/>
      <c r="C30" s="29"/>
      <c r="D30" s="28"/>
      <c r="E30" s="29"/>
      <c r="F30" s="28"/>
      <c r="G30" s="29"/>
    </row>
    <row r="31" spans="1:7" ht="13.5">
      <c r="A31" s="26" t="str">
        <f>'VAR 1'!A312</f>
        <v>Okná</v>
      </c>
      <c r="B31" s="27">
        <f>'VAR 1'!O312</f>
        <v>20440.78</v>
      </c>
      <c r="C31" s="28">
        <f>'VAR 2'!O312</f>
        <v>37902.925</v>
      </c>
      <c r="D31" s="27">
        <f>'VAR 1'!P312</f>
        <v>948.0730000000001</v>
      </c>
      <c r="E31" s="28">
        <f>'VAR 2'!P312</f>
        <v>2044.8375</v>
      </c>
      <c r="F31" s="27">
        <f>'VAR 1'!Q312</f>
        <v>4.316750000000001</v>
      </c>
      <c r="G31" s="28">
        <f>'VAR 2'!Q312</f>
        <v>7.805490000000001</v>
      </c>
    </row>
    <row r="32" spans="2:6" ht="12.75">
      <c r="B32" s="24"/>
      <c r="C32" s="25"/>
      <c r="D32" s="24"/>
      <c r="E32" s="25"/>
      <c r="F32" s="24"/>
    </row>
    <row r="33" spans="2:6" ht="12.75">
      <c r="B33" s="25"/>
      <c r="C33" s="25"/>
      <c r="D33" s="25"/>
      <c r="E33" s="25"/>
      <c r="F33" s="25"/>
    </row>
    <row r="34" spans="2:6" ht="12.75">
      <c r="B34" s="25"/>
      <c r="C34" s="25"/>
      <c r="D34" s="25"/>
      <c r="E34" s="25"/>
      <c r="F34" s="25"/>
    </row>
    <row r="35" spans="2:7" ht="12.75">
      <c r="B35" s="25"/>
      <c r="C35" s="25"/>
      <c r="D35" s="25"/>
      <c r="E35" s="25"/>
      <c r="F35" s="25"/>
      <c r="G35" s="25"/>
    </row>
    <row r="36" spans="2:6" ht="12.75">
      <c r="B36" s="25"/>
      <c r="C36" s="25"/>
      <c r="D36" s="25"/>
      <c r="E36" s="25"/>
      <c r="F36" s="25"/>
    </row>
    <row r="37" spans="2:7" ht="12.75">
      <c r="B37" s="25"/>
      <c r="C37" s="25"/>
      <c r="D37" s="25"/>
      <c r="E37" s="25"/>
      <c r="F37" s="25"/>
      <c r="G37" s="25"/>
    </row>
    <row r="38" spans="2:6" ht="12.75">
      <c r="B38" s="25"/>
      <c r="C38" s="25"/>
      <c r="D38" s="25"/>
      <c r="E38" s="25"/>
      <c r="F38" s="25"/>
    </row>
    <row r="39" spans="2:7" ht="12.75">
      <c r="B39" s="25"/>
      <c r="C39" s="25"/>
      <c r="D39" s="25"/>
      <c r="E39" s="25"/>
      <c r="F39" s="25"/>
      <c r="G39" s="25"/>
    </row>
    <row r="40" spans="2:7" ht="12.75">
      <c r="B40" s="25"/>
      <c r="C40" s="25"/>
      <c r="D40" s="25"/>
      <c r="E40" s="25"/>
      <c r="F40" s="25"/>
      <c r="G40" s="25"/>
    </row>
    <row r="41" spans="2:6" ht="12.75">
      <c r="B41" s="25"/>
      <c r="C41" s="25"/>
      <c r="D41" s="25"/>
      <c r="E41" s="25"/>
      <c r="F41" s="25"/>
    </row>
    <row r="42" spans="2:6" ht="12.75">
      <c r="B42" s="25"/>
      <c r="C42" s="25"/>
      <c r="D42" s="25"/>
      <c r="E42" s="25"/>
      <c r="F42" s="25"/>
    </row>
    <row r="43" spans="2:6" ht="12.75">
      <c r="B43" s="25"/>
      <c r="C43" s="25"/>
      <c r="D43" s="25"/>
      <c r="E43" s="25"/>
      <c r="F43" s="25"/>
    </row>
    <row r="44" spans="2:6" ht="12.75">
      <c r="B44" s="25"/>
      <c r="C44" s="25"/>
      <c r="D44" s="25"/>
      <c r="E44" s="25"/>
      <c r="F44" s="25"/>
    </row>
    <row r="45" spans="2:6" ht="12.75">
      <c r="B45" s="25"/>
      <c r="C45" s="25"/>
      <c r="D45" s="25"/>
      <c r="E45" s="25"/>
      <c r="F45" s="25"/>
    </row>
    <row r="46" spans="2:6" ht="12.75">
      <c r="B46" s="25"/>
      <c r="C46" s="25"/>
      <c r="D46" s="25"/>
      <c r="E46" s="25"/>
      <c r="F46" s="25"/>
    </row>
    <row r="47" spans="2:6" ht="12.75">
      <c r="B47" s="25"/>
      <c r="C47" s="25"/>
      <c r="D47" s="25"/>
      <c r="E47" s="25"/>
      <c r="F47" s="25"/>
    </row>
    <row r="48" spans="2:6" ht="12.75">
      <c r="B48" s="25"/>
      <c r="C48" s="25"/>
      <c r="D48" s="25"/>
      <c r="E48" s="25"/>
      <c r="F48" s="25"/>
    </row>
    <row r="49" spans="2:6" ht="12.75">
      <c r="B49" s="25"/>
      <c r="C49" s="25"/>
      <c r="D49" s="25"/>
      <c r="E49" s="25"/>
      <c r="F49" s="25"/>
    </row>
    <row r="50" spans="2:6" ht="12.75">
      <c r="B50" s="25"/>
      <c r="C50" s="25"/>
      <c r="D50" s="25"/>
      <c r="E50" s="25"/>
      <c r="F50" s="25"/>
    </row>
  </sheetData>
  <sheetProtection/>
  <mergeCells count="5">
    <mergeCell ref="C3:D3"/>
    <mergeCell ref="F3:G3"/>
    <mergeCell ref="B8:C8"/>
    <mergeCell ref="D8:E8"/>
    <mergeCell ref="F8:G8"/>
  </mergeCells>
  <printOptions/>
  <pageMargins left="0.7875" right="0.7875" top="1.025" bottom="1.025" header="0.7875" footer="0.7875"/>
  <pageSetup firstPageNumber="1" useFirstPageNumber="1" fitToHeight="2" fitToWidth="1" horizontalDpi="300" verticalDpi="300" orientation="portrait" paperSize="9"/>
  <headerFooter alignWithMargins="0">
    <oddHeader>&amp;C&amp;A</oddHeader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8"/>
  <sheetViews>
    <sheetView zoomScale="64" zoomScaleNormal="64" workbookViewId="0" topLeftCell="A193">
      <selection activeCell="S157" sqref="S157"/>
    </sheetView>
  </sheetViews>
  <sheetFormatPr defaultColWidth="12.57421875" defaultRowHeight="12.75"/>
  <cols>
    <col min="1" max="1" width="20.28125" style="0" customWidth="1"/>
    <col min="2" max="4" width="8.140625" style="0" customWidth="1"/>
    <col min="5" max="5" width="6.57421875" style="30" customWidth="1"/>
    <col min="6" max="6" width="8.140625" style="0" customWidth="1"/>
    <col min="7" max="7" width="16.00390625" style="0" customWidth="1"/>
    <col min="8" max="8" width="9.28125" style="0" customWidth="1"/>
    <col min="9" max="9" width="10.28125" style="31" customWidth="1"/>
    <col min="10" max="10" width="4.28125" style="32" customWidth="1"/>
    <col min="11" max="11" width="6.140625" style="31" customWidth="1"/>
    <col min="12" max="12" width="37.00390625" style="33" customWidth="1"/>
    <col min="13" max="13" width="8.7109375" style="33" customWidth="1"/>
    <col min="14" max="14" width="6.00390625" style="33" customWidth="1"/>
    <col min="15" max="17" width="11.57421875" style="34" customWidth="1"/>
    <col min="18" max="16384" width="11.57421875" style="0" customWidth="1"/>
  </cols>
  <sheetData>
    <row r="1" spans="1:8" ht="17.25">
      <c r="A1" s="35" t="s">
        <v>12</v>
      </c>
      <c r="B1" s="36" t="s">
        <v>13</v>
      </c>
      <c r="C1" s="36"/>
      <c r="D1" s="36"/>
      <c r="E1" s="36"/>
      <c r="F1" s="36"/>
      <c r="G1" s="36"/>
      <c r="H1" s="36"/>
    </row>
    <row r="3" spans="1:17" s="11" customFormat="1" ht="49.5">
      <c r="A3" s="11" t="s">
        <v>8</v>
      </c>
      <c r="B3" s="11" t="s">
        <v>14</v>
      </c>
      <c r="E3" s="37"/>
      <c r="I3" s="11" t="s">
        <v>15</v>
      </c>
      <c r="K3" s="38" t="s">
        <v>16</v>
      </c>
      <c r="L3" s="39" t="s">
        <v>17</v>
      </c>
      <c r="M3" s="40" t="s">
        <v>18</v>
      </c>
      <c r="N3" s="40"/>
      <c r="O3" s="41" t="s">
        <v>9</v>
      </c>
      <c r="P3" s="41" t="s">
        <v>19</v>
      </c>
      <c r="Q3" s="41" t="s">
        <v>20</v>
      </c>
    </row>
    <row r="5" spans="1:17" s="21" customFormat="1" ht="15">
      <c r="A5" s="42" t="s">
        <v>21</v>
      </c>
      <c r="B5" s="43"/>
      <c r="C5" s="43"/>
      <c r="D5" s="43"/>
      <c r="E5" s="44"/>
      <c r="F5" s="43"/>
      <c r="G5" s="43"/>
      <c r="H5" s="43"/>
      <c r="I5" s="42"/>
      <c r="J5" s="42"/>
      <c r="K5" s="42"/>
      <c r="L5" s="45"/>
      <c r="M5" s="45"/>
      <c r="N5" s="45"/>
      <c r="O5" s="46">
        <f>SUM(O7:O48)</f>
        <v>94450.63</v>
      </c>
      <c r="P5" s="46">
        <f>SUM(P7:P48)</f>
        <v>8574.007</v>
      </c>
      <c r="Q5" s="46">
        <f>SUM(Q7:Q48)</f>
        <v>34.419377999999995</v>
      </c>
    </row>
    <row r="7" spans="1:11" ht="12.75">
      <c r="A7" t="s">
        <v>22</v>
      </c>
      <c r="B7" s="47" t="s">
        <v>23</v>
      </c>
      <c r="C7" s="47" t="s">
        <v>24</v>
      </c>
      <c r="D7" s="47" t="s">
        <v>25</v>
      </c>
      <c r="E7" s="30" t="s">
        <v>26</v>
      </c>
      <c r="F7" s="47" t="s">
        <v>27</v>
      </c>
      <c r="G7" s="47" t="s">
        <v>28</v>
      </c>
      <c r="H7" s="47" t="s">
        <v>29</v>
      </c>
      <c r="I7" s="48" t="s">
        <v>30</v>
      </c>
      <c r="J7" s="49"/>
      <c r="K7" s="48"/>
    </row>
    <row r="8" spans="2:8" ht="12.75">
      <c r="B8" s="50">
        <v>0</v>
      </c>
      <c r="C8" s="50">
        <v>0</v>
      </c>
      <c r="D8" s="50">
        <v>0</v>
      </c>
      <c r="E8" s="51">
        <v>1</v>
      </c>
      <c r="F8" s="50">
        <f>SUM(B8*C8*D8*E8)</f>
        <v>0</v>
      </c>
      <c r="G8" s="50">
        <v>80</v>
      </c>
      <c r="H8" s="50">
        <f>SUM(F8:G8)</f>
        <v>80</v>
      </c>
    </row>
    <row r="9" spans="2:8" ht="12.75">
      <c r="B9" s="50">
        <v>0</v>
      </c>
      <c r="C9" s="50">
        <v>0</v>
      </c>
      <c r="D9" s="50">
        <v>0</v>
      </c>
      <c r="E9" s="51">
        <v>1</v>
      </c>
      <c r="F9" s="50">
        <f>SUM(B9*C9*D9*E9)</f>
        <v>0</v>
      </c>
      <c r="G9" s="50">
        <v>0</v>
      </c>
      <c r="H9" s="50">
        <f>SUM(F9:G9)</f>
        <v>0</v>
      </c>
    </row>
    <row r="10" spans="2:12" ht="12.75">
      <c r="B10" s="50">
        <v>0</v>
      </c>
      <c r="C10" s="50">
        <v>0</v>
      </c>
      <c r="D10" s="50">
        <v>0</v>
      </c>
      <c r="E10" s="51">
        <v>1</v>
      </c>
      <c r="F10" s="50">
        <f>SUM(B10*C10*D10*E10)</f>
        <v>0</v>
      </c>
      <c r="G10" s="50">
        <v>0</v>
      </c>
      <c r="H10" s="50">
        <f>SUM(F10:G10)</f>
        <v>0</v>
      </c>
      <c r="I10" s="31">
        <f>SUM(H8:H10)</f>
        <v>80</v>
      </c>
      <c r="J10" s="32" t="s">
        <v>31</v>
      </c>
      <c r="K10" s="52">
        <v>1</v>
      </c>
      <c r="L10" s="33" t="s">
        <v>32</v>
      </c>
    </row>
    <row r="11" spans="2:8" ht="12.75">
      <c r="B11" s="18"/>
      <c r="C11" s="18"/>
      <c r="D11" s="18"/>
      <c r="E11" s="53"/>
      <c r="F11" s="18"/>
      <c r="G11" s="18"/>
      <c r="H11" s="18"/>
    </row>
    <row r="12" spans="1:11" ht="12.75">
      <c r="A12" t="s">
        <v>33</v>
      </c>
      <c r="B12" s="47" t="s">
        <v>23</v>
      </c>
      <c r="C12" s="47" t="s">
        <v>24</v>
      </c>
      <c r="D12" s="47" t="s">
        <v>25</v>
      </c>
      <c r="E12" s="30" t="s">
        <v>26</v>
      </c>
      <c r="F12" s="47" t="s">
        <v>27</v>
      </c>
      <c r="G12" s="47" t="s">
        <v>28</v>
      </c>
      <c r="H12" s="47" t="s">
        <v>29</v>
      </c>
      <c r="I12" s="48" t="s">
        <v>30</v>
      </c>
      <c r="J12" s="49"/>
      <c r="K12" s="48"/>
    </row>
    <row r="13" spans="2:8" ht="12.75">
      <c r="B13" s="50">
        <v>0</v>
      </c>
      <c r="C13" s="50">
        <v>0</v>
      </c>
      <c r="D13" s="50">
        <v>0</v>
      </c>
      <c r="E13" s="51">
        <v>1</v>
      </c>
      <c r="F13" s="50">
        <f>SUM(B13*C13*D13*E13)</f>
        <v>0</v>
      </c>
      <c r="G13" s="50">
        <v>12</v>
      </c>
      <c r="H13" s="50">
        <f>SUM(F13:G13)</f>
        <v>12</v>
      </c>
    </row>
    <row r="14" spans="2:8" ht="12.75">
      <c r="B14" s="50">
        <v>0</v>
      </c>
      <c r="C14" s="50">
        <v>0</v>
      </c>
      <c r="D14" s="50">
        <v>0</v>
      </c>
      <c r="E14" s="51">
        <v>1</v>
      </c>
      <c r="F14" s="50">
        <f>SUM(B14*C14*D14*E14)</f>
        <v>0</v>
      </c>
      <c r="G14" s="50"/>
      <c r="H14" s="50">
        <f>SUM(F14:G14)</f>
        <v>0</v>
      </c>
    </row>
    <row r="15" spans="2:17" ht="12.75">
      <c r="B15" s="50">
        <v>0</v>
      </c>
      <c r="C15" s="50">
        <v>0</v>
      </c>
      <c r="D15" s="50">
        <v>0</v>
      </c>
      <c r="E15" s="51">
        <v>1</v>
      </c>
      <c r="F15" s="50">
        <f>SUM(B15*C15*D15*E15)</f>
        <v>0</v>
      </c>
      <c r="G15" s="50">
        <v>0</v>
      </c>
      <c r="H15" s="50">
        <f>SUM(F15:G15)</f>
        <v>0</v>
      </c>
      <c r="I15" s="31">
        <f>SUM(H13:H15)</f>
        <v>12</v>
      </c>
      <c r="J15" s="32" t="s">
        <v>31</v>
      </c>
      <c r="K15" s="52">
        <v>1</v>
      </c>
      <c r="L15" s="33" t="str">
        <f>('Materiálové hodnoty'!B5)</f>
        <v>Štrk</v>
      </c>
      <c r="O15" s="34">
        <f>SUM($I$15*'Materiálové hodnoty'!$E$5*'Materiálové hodnoty'!J5*$K$15)</f>
        <v>1728</v>
      </c>
      <c r="P15" s="34">
        <f>SUM($I$15*'Materiálové hodnoty'!$E$5*'Materiálové hodnoty'!K5*$K$15)</f>
        <v>86.4</v>
      </c>
      <c r="Q15" s="34">
        <f>SUM($I$15*'Materiálové hodnoty'!$E$5*'Materiálové hodnoty'!L5*$K$15)</f>
        <v>1.08</v>
      </c>
    </row>
    <row r="16" spans="2:8" ht="12.75">
      <c r="B16" s="18"/>
      <c r="C16" s="18"/>
      <c r="D16" s="18"/>
      <c r="E16" s="53"/>
      <c r="F16" s="18"/>
      <c r="G16" s="18"/>
      <c r="H16" s="18"/>
    </row>
    <row r="17" spans="1:11" ht="12.75">
      <c r="A17" t="s">
        <v>34</v>
      </c>
      <c r="B17" s="47" t="s">
        <v>23</v>
      </c>
      <c r="C17" s="47" t="s">
        <v>24</v>
      </c>
      <c r="D17" s="47"/>
      <c r="E17" s="30" t="s">
        <v>26</v>
      </c>
      <c r="F17" s="47" t="s">
        <v>35</v>
      </c>
      <c r="G17" s="47" t="s">
        <v>28</v>
      </c>
      <c r="H17" s="47" t="s">
        <v>29</v>
      </c>
      <c r="I17" s="48" t="s">
        <v>30</v>
      </c>
      <c r="J17" s="49"/>
      <c r="K17" s="48"/>
    </row>
    <row r="18" spans="2:8" ht="12.75">
      <c r="B18" s="50">
        <v>0</v>
      </c>
      <c r="C18" s="50">
        <v>0</v>
      </c>
      <c r="D18" s="50"/>
      <c r="E18" s="51">
        <v>1</v>
      </c>
      <c r="F18" s="50">
        <f>SUM(B18*C18*E18)</f>
        <v>0</v>
      </c>
      <c r="G18" s="50">
        <v>230</v>
      </c>
      <c r="H18" s="50">
        <f>SUM(F18:G18)</f>
        <v>230</v>
      </c>
    </row>
    <row r="19" spans="2:8" ht="12.75">
      <c r="B19" s="50">
        <v>0</v>
      </c>
      <c r="C19" s="50">
        <v>0</v>
      </c>
      <c r="D19" s="50"/>
      <c r="E19" s="51">
        <v>1</v>
      </c>
      <c r="F19" s="50">
        <f>SUM(B19*C19*E19)</f>
        <v>0</v>
      </c>
      <c r="G19" s="50">
        <v>0</v>
      </c>
      <c r="H19" s="50">
        <f>SUM(F19:G19)</f>
        <v>0</v>
      </c>
    </row>
    <row r="20" spans="2:17" ht="12.75">
      <c r="B20" s="50">
        <v>0</v>
      </c>
      <c r="C20" s="50">
        <v>0</v>
      </c>
      <c r="D20" s="50"/>
      <c r="E20" s="51">
        <v>1</v>
      </c>
      <c r="F20" s="50">
        <f>SUM(B20*C20*E20)</f>
        <v>0</v>
      </c>
      <c r="G20" s="50">
        <v>0</v>
      </c>
      <c r="H20" s="50">
        <f>SUM(F20:G20)</f>
        <v>0</v>
      </c>
      <c r="I20" s="31">
        <f>SUM(H18:H20)</f>
        <v>230</v>
      </c>
      <c r="J20" s="32" t="s">
        <v>36</v>
      </c>
      <c r="K20" s="52">
        <v>1</v>
      </c>
      <c r="L20" s="33" t="str">
        <f>('Materiálové hodnoty'!B140)</f>
        <v>Geotextília</v>
      </c>
      <c r="M20" s="54">
        <v>150</v>
      </c>
      <c r="N20" s="33" t="s">
        <v>37</v>
      </c>
      <c r="O20" s="34">
        <f>SUM('Materiálové hodnoty'!J140*$M$20*0.001*$I$20*$K$20)</f>
        <v>3232.65</v>
      </c>
      <c r="P20" s="34">
        <f>SUM('Materiálové hodnoty'!K140*$M$20*0.001*$I$20*$K$20)</f>
        <v>97.29</v>
      </c>
      <c r="Q20" s="34">
        <f>SUM('Materiálové hodnoty'!L140*$M$20*0.001*$I$20*$K$20)</f>
        <v>0.8280000000000001</v>
      </c>
    </row>
    <row r="22" spans="1:11" ht="12.75">
      <c r="A22" t="s">
        <v>38</v>
      </c>
      <c r="B22" s="47" t="s">
        <v>23</v>
      </c>
      <c r="C22" s="47" t="s">
        <v>24</v>
      </c>
      <c r="D22" s="47" t="s">
        <v>25</v>
      </c>
      <c r="E22" s="30" t="s">
        <v>26</v>
      </c>
      <c r="F22" s="47" t="s">
        <v>27</v>
      </c>
      <c r="G22" s="47" t="s">
        <v>28</v>
      </c>
      <c r="H22" s="47" t="s">
        <v>29</v>
      </c>
      <c r="I22" s="48" t="s">
        <v>30</v>
      </c>
      <c r="J22" s="49"/>
      <c r="K22" s="48"/>
    </row>
    <row r="23" spans="2:8" ht="12.75">
      <c r="B23" s="50">
        <v>0</v>
      </c>
      <c r="C23" s="50">
        <v>0</v>
      </c>
      <c r="D23" s="50">
        <v>0</v>
      </c>
      <c r="E23" s="51">
        <v>1</v>
      </c>
      <c r="F23" s="50">
        <f>SUM(B23*C23*D23*E23)</f>
        <v>0</v>
      </c>
      <c r="G23" s="50">
        <v>0</v>
      </c>
      <c r="H23" s="50">
        <f>SUM(F23:G23)</f>
        <v>0</v>
      </c>
    </row>
    <row r="24" spans="2:8" ht="12.75">
      <c r="B24" s="50">
        <v>0</v>
      </c>
      <c r="C24" s="50">
        <v>0</v>
      </c>
      <c r="D24" s="50">
        <v>0</v>
      </c>
      <c r="E24" s="51">
        <v>1</v>
      </c>
      <c r="F24" s="50">
        <f>SUM(B24*C24*D24*E24)</f>
        <v>0</v>
      </c>
      <c r="G24" s="50">
        <v>0</v>
      </c>
      <c r="H24" s="50">
        <f>SUM(F24:G24)</f>
        <v>0</v>
      </c>
    </row>
    <row r="25" spans="1:17" ht="12.75">
      <c r="A25">
        <v>1.08</v>
      </c>
      <c r="B25" s="50">
        <v>0</v>
      </c>
      <c r="C25" s="50">
        <v>0</v>
      </c>
      <c r="D25" s="50">
        <v>0</v>
      </c>
      <c r="E25" s="51">
        <v>1</v>
      </c>
      <c r="F25" s="50">
        <f>SUM(B25*C25*D25*E25)</f>
        <v>0</v>
      </c>
      <c r="G25" s="50">
        <v>0</v>
      </c>
      <c r="H25" s="50">
        <f>SUM(F25:G25)</f>
        <v>0</v>
      </c>
      <c r="I25" s="31">
        <f>SUM(H23:H25)</f>
        <v>0</v>
      </c>
      <c r="J25" s="32" t="s">
        <v>31</v>
      </c>
      <c r="K25" s="52">
        <v>1</v>
      </c>
      <c r="L25" s="33" t="str">
        <f>('Materiálové hodnoty'!B14)</f>
        <v>Normalný betón (bez armovania)</v>
      </c>
      <c r="O25" s="34">
        <f>SUM($I$25*'Materiálové hodnoty'!$E$14*'Materiálové hodnoty'!J14*$K$25)</f>
        <v>0</v>
      </c>
      <c r="P25" s="34">
        <f>SUM($I$25*'Materiálové hodnoty'!$E$14*'Materiálové hodnoty'!K14*$K$25)</f>
        <v>0</v>
      </c>
      <c r="Q25" s="34">
        <f>SUM($I$25*'Materiálové hodnoty'!$E$14*'Materiálové hodnoty'!L14*$K$25)</f>
        <v>0</v>
      </c>
    </row>
    <row r="26" spans="2:11" ht="12.75">
      <c r="B26" s="50"/>
      <c r="C26" s="50"/>
      <c r="D26" s="50"/>
      <c r="E26" s="51"/>
      <c r="F26" s="50"/>
      <c r="G26" s="50"/>
      <c r="H26" s="50"/>
      <c r="K26" s="52"/>
    </row>
    <row r="27" spans="1:11" ht="12.75">
      <c r="A27" t="s">
        <v>39</v>
      </c>
      <c r="B27" s="47" t="s">
        <v>23</v>
      </c>
      <c r="C27" s="47" t="s">
        <v>24</v>
      </c>
      <c r="D27" s="47" t="s">
        <v>25</v>
      </c>
      <c r="E27" s="30" t="s">
        <v>26</v>
      </c>
      <c r="F27" s="47" t="s">
        <v>27</v>
      </c>
      <c r="G27" s="47" t="s">
        <v>28</v>
      </c>
      <c r="H27" s="47" t="s">
        <v>29</v>
      </c>
      <c r="I27" s="48" t="s">
        <v>30</v>
      </c>
      <c r="J27" s="49"/>
      <c r="K27" s="48"/>
    </row>
    <row r="28" spans="2:8" ht="12.75">
      <c r="B28" s="50">
        <v>0</v>
      </c>
      <c r="C28" s="50">
        <v>0</v>
      </c>
      <c r="D28" s="50">
        <v>0</v>
      </c>
      <c r="E28" s="51">
        <v>1</v>
      </c>
      <c r="F28" s="50">
        <f>SUM(B28*C28*D28*E28)</f>
        <v>0</v>
      </c>
      <c r="G28" s="50">
        <v>0</v>
      </c>
      <c r="H28" s="50">
        <f>SUM(F28:G28)</f>
        <v>0</v>
      </c>
    </row>
    <row r="29" spans="2:8" ht="12.75">
      <c r="B29" s="50">
        <v>0</v>
      </c>
      <c r="C29" s="50">
        <v>0</v>
      </c>
      <c r="D29" s="50">
        <v>0</v>
      </c>
      <c r="E29" s="51">
        <v>1</v>
      </c>
      <c r="F29" s="50">
        <f>SUM(B29*C29*D29*E29)</f>
        <v>0</v>
      </c>
      <c r="G29" s="50">
        <v>0</v>
      </c>
      <c r="H29" s="50">
        <f>SUM(F29:G29)</f>
        <v>0</v>
      </c>
    </row>
    <row r="30" spans="2:17" ht="12.75">
      <c r="B30" s="50">
        <v>0</v>
      </c>
      <c r="C30" s="50">
        <v>0</v>
      </c>
      <c r="D30" s="50">
        <v>0</v>
      </c>
      <c r="E30" s="51">
        <v>1</v>
      </c>
      <c r="F30" s="50">
        <f>SUM(B30*C30*D30*E30)</f>
        <v>0</v>
      </c>
      <c r="G30" s="50">
        <v>0</v>
      </c>
      <c r="H30" s="50">
        <f>SUM(F30:G30)</f>
        <v>0</v>
      </c>
      <c r="I30" s="31">
        <f>SUM(H28:H30)</f>
        <v>0</v>
      </c>
      <c r="J30" s="32" t="s">
        <v>31</v>
      </c>
      <c r="K30" s="52">
        <v>1</v>
      </c>
      <c r="L30" s="33" t="str">
        <f>('Materiálové hodnoty'!B16)</f>
        <v>Betónové šalovacie tvárnice (bez jadra)</v>
      </c>
      <c r="O30" s="34">
        <f>SUM($I$30*'Materiálové hodnoty'!$E$16*'Materiálové hodnoty'!J16*$K30)</f>
        <v>0</v>
      </c>
      <c r="P30" s="34">
        <f>SUM($I$30*'Materiálové hodnoty'!$E$16*'Materiálové hodnoty'!K16*$K30)</f>
        <v>0</v>
      </c>
      <c r="Q30" s="34">
        <f>SUM($I$30*'Materiálové hodnoty'!$E$16*'Materiálové hodnoty'!L16*$K30)</f>
        <v>0</v>
      </c>
    </row>
    <row r="32" spans="1:11" ht="12.75">
      <c r="A32" t="s">
        <v>40</v>
      </c>
      <c r="B32" s="47" t="s">
        <v>23</v>
      </c>
      <c r="C32" s="47" t="s">
        <v>24</v>
      </c>
      <c r="D32" s="47" t="s">
        <v>25</v>
      </c>
      <c r="E32" s="30" t="s">
        <v>26</v>
      </c>
      <c r="F32" s="47" t="s">
        <v>27</v>
      </c>
      <c r="G32" s="47" t="s">
        <v>28</v>
      </c>
      <c r="H32" s="47" t="s">
        <v>29</v>
      </c>
      <c r="I32" s="48" t="s">
        <v>30</v>
      </c>
      <c r="J32" s="49"/>
      <c r="K32" s="48"/>
    </row>
    <row r="33" spans="2:8" ht="12.75">
      <c r="B33" s="50">
        <v>0</v>
      </c>
      <c r="C33" s="50">
        <v>0</v>
      </c>
      <c r="D33" s="50">
        <v>0</v>
      </c>
      <c r="E33" s="51">
        <v>1</v>
      </c>
      <c r="F33" s="50">
        <f>SUM(B33*C33*D33*E33)</f>
        <v>0</v>
      </c>
      <c r="G33" s="50">
        <v>19</v>
      </c>
      <c r="H33" s="50">
        <f>SUM(F33:G33)</f>
        <v>19</v>
      </c>
    </row>
    <row r="34" spans="2:8" ht="12.75">
      <c r="B34" s="50">
        <v>0</v>
      </c>
      <c r="C34" s="50">
        <v>0</v>
      </c>
      <c r="D34" s="50">
        <v>0</v>
      </c>
      <c r="E34" s="51">
        <v>1</v>
      </c>
      <c r="F34" s="50">
        <f>SUM(B34*C34*D34*E34)</f>
        <v>0</v>
      </c>
      <c r="G34" s="50">
        <v>0</v>
      </c>
      <c r="H34" s="50">
        <f>SUM(F34:G34)</f>
        <v>0</v>
      </c>
    </row>
    <row r="35" spans="2:17" ht="12.75">
      <c r="B35" s="50">
        <v>0</v>
      </c>
      <c r="C35" s="50">
        <v>0</v>
      </c>
      <c r="D35" s="50">
        <v>0</v>
      </c>
      <c r="E35" s="51">
        <v>1</v>
      </c>
      <c r="F35" s="50">
        <f>SUM(B35*C35*D35*E35)</f>
        <v>0</v>
      </c>
      <c r="G35" s="50">
        <v>0</v>
      </c>
      <c r="H35" s="50">
        <f>SUM(F35:G35)</f>
        <v>0</v>
      </c>
      <c r="I35" s="31">
        <f>SUM(H33:H35)</f>
        <v>19</v>
      </c>
      <c r="J35" s="32" t="s">
        <v>31</v>
      </c>
      <c r="K35" s="52">
        <v>1</v>
      </c>
      <c r="L35" s="33" t="str">
        <f>('Materiálové hodnoty'!B17)</f>
        <v>Železobetón</v>
      </c>
      <c r="O35" s="34">
        <f>SUM($I$35*'Materiálové hodnoty'!$E$17*'Materiálové hodnoty'!J17*$K$35)</f>
        <v>53352</v>
      </c>
      <c r="P35" s="34">
        <f>SUM($I$35*'Materiálové hodnoty'!$E$17*'Materiálové hodnoty'!K17*$K$35)</f>
        <v>6976.8</v>
      </c>
      <c r="Q35" s="34">
        <f>SUM($I$35*'Materiálové hodnoty'!$E$17*'Materiálové hodnoty'!L17*$K$35)</f>
        <v>23.7576</v>
      </c>
    </row>
    <row r="36" spans="9:17" ht="12.75">
      <c r="I36" s="52">
        <v>0.7</v>
      </c>
      <c r="J36" s="32" t="s">
        <v>41</v>
      </c>
      <c r="K36" s="52">
        <v>1</v>
      </c>
      <c r="L36" s="33" t="s">
        <v>42</v>
      </c>
      <c r="M36" s="55">
        <f>SUM(I35*I36/100*7800*K36)</f>
        <v>1037.4</v>
      </c>
      <c r="N36" s="33" t="s">
        <v>43</v>
      </c>
      <c r="O36" s="34">
        <f>SUM('Materiálové hodnoty'!$E$18*'Materiálové hodnoty'!$J$18*$I35*$I36*0.01*$K36)</f>
        <v>23548.98</v>
      </c>
      <c r="P36" s="34">
        <f>SUM('Materiálové hodnoty'!$E$18*'Materiálové hodnoty'!$K$18*$I35*$I36*0.01*$K36)</f>
        <v>969.969</v>
      </c>
      <c r="Q36" s="34">
        <f>SUM('Materiálové hodnoty'!$E$18*'Materiálové hodnoty'!$L$18*$I35*$I36*0.01*$K36)</f>
        <v>5.882058000000001</v>
      </c>
    </row>
    <row r="37" spans="9:17" ht="12.75">
      <c r="I37" s="52">
        <v>296</v>
      </c>
      <c r="J37" s="32" t="s">
        <v>43</v>
      </c>
      <c r="K37" s="52">
        <v>1</v>
      </c>
      <c r="L37" s="33" t="s">
        <v>42</v>
      </c>
      <c r="O37" s="34">
        <f>SUM($I37*'Materiálové hodnoty'!$J$18*$K37)</f>
        <v>6719.2</v>
      </c>
      <c r="P37" s="34">
        <f>SUM($I37*'Materiálové hodnoty'!$K$18*$K37)</f>
        <v>276.76</v>
      </c>
      <c r="Q37" s="34">
        <f>SUM($I37*'Materiálové hodnoty'!$L$18*$K37)</f>
        <v>1.6783200000000003</v>
      </c>
    </row>
    <row r="39" spans="1:11" ht="12.75">
      <c r="A39" t="s">
        <v>44</v>
      </c>
      <c r="B39" s="47" t="s">
        <v>23</v>
      </c>
      <c r="C39" s="47" t="s">
        <v>24</v>
      </c>
      <c r="D39" s="47"/>
      <c r="E39" s="30" t="s">
        <v>26</v>
      </c>
      <c r="F39" s="47" t="s">
        <v>35</v>
      </c>
      <c r="G39" s="47" t="s">
        <v>28</v>
      </c>
      <c r="H39" s="47" t="s">
        <v>29</v>
      </c>
      <c r="I39" s="48" t="s">
        <v>30</v>
      </c>
      <c r="J39" s="49"/>
      <c r="K39" s="48"/>
    </row>
    <row r="40" spans="2:8" ht="12.75">
      <c r="B40" s="50">
        <v>0</v>
      </c>
      <c r="C40" s="50">
        <v>0</v>
      </c>
      <c r="D40" s="50"/>
      <c r="E40" s="51">
        <v>1</v>
      </c>
      <c r="F40" s="50">
        <f>SUM(B40*C40*E40)</f>
        <v>0</v>
      </c>
      <c r="G40" s="50">
        <v>117</v>
      </c>
      <c r="H40" s="50">
        <f>SUM(F40:G40)</f>
        <v>117</v>
      </c>
    </row>
    <row r="41" spans="2:8" ht="12.75">
      <c r="B41" s="50">
        <v>0</v>
      </c>
      <c r="C41" s="50">
        <v>0</v>
      </c>
      <c r="D41" s="50"/>
      <c r="E41" s="51">
        <v>1</v>
      </c>
      <c r="F41" s="50">
        <f>SUM(B41*C41*E41)</f>
        <v>0</v>
      </c>
      <c r="G41" s="50">
        <v>0</v>
      </c>
      <c r="H41" s="50">
        <f>SUM(F41:G41)</f>
        <v>0</v>
      </c>
    </row>
    <row r="42" spans="2:17" ht="12.75">
      <c r="B42" s="50">
        <v>0</v>
      </c>
      <c r="C42" s="50">
        <v>0</v>
      </c>
      <c r="D42" s="50"/>
      <c r="E42" s="51">
        <v>1</v>
      </c>
      <c r="F42" s="50">
        <f>SUM(B42*C42*E42)</f>
        <v>0</v>
      </c>
      <c r="G42" s="50">
        <v>0</v>
      </c>
      <c r="H42" s="50">
        <f>SUM(F42:G42)</f>
        <v>0</v>
      </c>
      <c r="I42" s="31">
        <f>SUM(H40:H42)</f>
        <v>117</v>
      </c>
      <c r="J42" s="32" t="s">
        <v>36</v>
      </c>
      <c r="K42" s="52">
        <v>1</v>
      </c>
      <c r="L42" s="33" t="str">
        <f>('Materiálové hodnoty'!B139)</f>
        <v>PE fólia</v>
      </c>
      <c r="M42" s="54">
        <v>200</v>
      </c>
      <c r="N42" s="33" t="s">
        <v>37</v>
      </c>
      <c r="O42" s="34">
        <f>SUM('Materiálové hodnoty'!J139*$M$42*0.001*$I$42*$K$42)</f>
        <v>1801.8</v>
      </c>
      <c r="P42" s="34">
        <f>SUM('Materiálové hodnoty'!K139*$M$42*0.001*$I$42*$K$42)</f>
        <v>47.268</v>
      </c>
      <c r="Q42" s="34">
        <f>SUM('Materiálové hodnoty'!L139*$M$42*0.001*$I$42*$K$42)</f>
        <v>0.49140000000000006</v>
      </c>
    </row>
    <row r="44" spans="1:11" ht="12.75">
      <c r="A44" t="s">
        <v>45</v>
      </c>
      <c r="B44" s="47" t="s">
        <v>23</v>
      </c>
      <c r="C44" s="47" t="s">
        <v>24</v>
      </c>
      <c r="D44" s="47"/>
      <c r="E44" s="30" t="s">
        <v>26</v>
      </c>
      <c r="F44" s="47" t="s">
        <v>35</v>
      </c>
      <c r="G44" s="47" t="s">
        <v>28</v>
      </c>
      <c r="H44" s="47" t="s">
        <v>29</v>
      </c>
      <c r="I44" s="48" t="s">
        <v>30</v>
      </c>
      <c r="J44" s="49"/>
      <c r="K44" s="48"/>
    </row>
    <row r="45" spans="2:11" ht="12.75">
      <c r="B45" s="50">
        <v>111</v>
      </c>
      <c r="C45" s="50">
        <v>1</v>
      </c>
      <c r="D45" s="50"/>
      <c r="E45" s="51">
        <v>1</v>
      </c>
      <c r="F45" s="50">
        <v>25</v>
      </c>
      <c r="G45" s="50">
        <v>0</v>
      </c>
      <c r="H45" s="50">
        <f>SUM(F45:G45)</f>
        <v>25</v>
      </c>
      <c r="K45" s="32"/>
    </row>
    <row r="46" spans="2:17" ht="12.75">
      <c r="B46" s="50">
        <v>0</v>
      </c>
      <c r="C46" s="50">
        <v>0</v>
      </c>
      <c r="D46" s="50"/>
      <c r="E46" s="51">
        <v>1</v>
      </c>
      <c r="F46" s="50">
        <f>SUM(B46*C46*E46)</f>
        <v>0</v>
      </c>
      <c r="G46" s="50">
        <v>0</v>
      </c>
      <c r="H46" s="50">
        <f>SUM(F46:G46)</f>
        <v>0</v>
      </c>
      <c r="K46" s="52">
        <v>1</v>
      </c>
      <c r="L46" s="33" t="str">
        <f>('Materiálové hodnoty'!B134)</f>
        <v>EPDM</v>
      </c>
      <c r="O46" s="34">
        <f>SUM($I$47*'Materiálové hodnoty'!N134*$K46)</f>
        <v>4068</v>
      </c>
      <c r="P46" s="34">
        <f>SUM($I$47*'Materiálové hodnoty'!O134*$K46)</f>
        <v>119.51999999999998</v>
      </c>
      <c r="Q46" s="34">
        <f>SUM($I$47*'Materiálové hodnoty'!P134*$K46)</f>
        <v>0.702</v>
      </c>
    </row>
    <row r="47" spans="2:17" ht="12.75">
      <c r="B47" s="50">
        <v>0</v>
      </c>
      <c r="C47" s="50">
        <v>0</v>
      </c>
      <c r="D47" s="50"/>
      <c r="E47" s="51">
        <v>1</v>
      </c>
      <c r="F47" s="50">
        <f>SUM(B47*C47*E47)</f>
        <v>0</v>
      </c>
      <c r="G47" s="50">
        <v>0</v>
      </c>
      <c r="H47" s="50">
        <f>SUM(F47:G47)</f>
        <v>0</v>
      </c>
      <c r="I47" s="31">
        <f>SUM(H45:H47)</f>
        <v>25</v>
      </c>
      <c r="J47" s="32" t="s">
        <v>36</v>
      </c>
      <c r="K47" s="52">
        <v>0</v>
      </c>
      <c r="L47" s="33" t="str">
        <f>('Materiálové hodnoty'!B135)</f>
        <v>Polymerbitumenová fólia</v>
      </c>
      <c r="O47" s="34">
        <f>SUM($I$47*'Materiálové hodnoty'!N135*$K47)</f>
        <v>0</v>
      </c>
      <c r="P47" s="34">
        <f>SUM($I$47*'Materiálové hodnoty'!O135*$K47)</f>
        <v>0</v>
      </c>
      <c r="Q47" s="34">
        <f>SUM($I$47*'Materiálové hodnoty'!P135*$K47)</f>
        <v>0</v>
      </c>
    </row>
    <row r="48" spans="5:17" s="18" customFormat="1" ht="12.75">
      <c r="E48" s="53"/>
      <c r="I48" s="32"/>
      <c r="J48" s="32"/>
      <c r="K48" s="32"/>
      <c r="L48" s="56"/>
      <c r="M48" s="56"/>
      <c r="N48" s="56"/>
      <c r="O48" s="57"/>
      <c r="P48" s="57"/>
      <c r="Q48" s="57"/>
    </row>
    <row r="49" spans="1:17" s="21" customFormat="1" ht="15">
      <c r="A49" s="42" t="s">
        <v>46</v>
      </c>
      <c r="B49" s="43"/>
      <c r="C49" s="43"/>
      <c r="D49" s="43"/>
      <c r="E49" s="44"/>
      <c r="F49" s="43"/>
      <c r="G49" s="43"/>
      <c r="H49" s="43"/>
      <c r="I49" s="42"/>
      <c r="J49" s="42"/>
      <c r="K49" s="42"/>
      <c r="L49" s="45"/>
      <c r="M49" s="45"/>
      <c r="N49" s="45"/>
      <c r="O49" s="46">
        <f>SUM(O51:O59)</f>
        <v>85671.08549999999</v>
      </c>
      <c r="P49" s="46">
        <f>SUM(P51:P59)</f>
        <v>4261.57004</v>
      </c>
      <c r="Q49" s="46">
        <f>SUM(Q51:Q59)</f>
        <v>17.1670681</v>
      </c>
    </row>
    <row r="50" spans="5:17" s="18" customFormat="1" ht="12.75">
      <c r="E50" s="53"/>
      <c r="I50" s="32"/>
      <c r="J50" s="32"/>
      <c r="K50" s="32"/>
      <c r="L50" s="56"/>
      <c r="M50" s="56"/>
      <c r="N50" s="56"/>
      <c r="O50" s="57"/>
      <c r="P50" s="57"/>
      <c r="Q50" s="57"/>
    </row>
    <row r="51" spans="1:11" ht="12.75">
      <c r="A51" t="s">
        <v>47</v>
      </c>
      <c r="B51" s="47" t="s">
        <v>23</v>
      </c>
      <c r="C51" s="47" t="s">
        <v>24</v>
      </c>
      <c r="D51" s="47" t="s">
        <v>48</v>
      </c>
      <c r="E51" s="30" t="s">
        <v>26</v>
      </c>
      <c r="F51" s="47" t="s">
        <v>27</v>
      </c>
      <c r="G51" s="47" t="s">
        <v>28</v>
      </c>
      <c r="H51" s="47" t="s">
        <v>29</v>
      </c>
      <c r="I51" s="48" t="s">
        <v>30</v>
      </c>
      <c r="J51" s="49"/>
      <c r="K51" s="48"/>
    </row>
    <row r="52" spans="1:17" ht="12.75">
      <c r="A52" s="58" t="s">
        <v>49</v>
      </c>
      <c r="B52" s="50">
        <v>0</v>
      </c>
      <c r="C52" s="50">
        <v>1</v>
      </c>
      <c r="D52" s="50">
        <v>0</v>
      </c>
      <c r="E52" s="51">
        <v>1</v>
      </c>
      <c r="F52" s="50">
        <f>SUM(B52*C52*D52*E52)</f>
        <v>0</v>
      </c>
      <c r="G52" s="50">
        <v>81.7</v>
      </c>
      <c r="H52" s="50">
        <f>SUM(F52:G52)</f>
        <v>81.7</v>
      </c>
      <c r="K52" s="52">
        <v>0</v>
      </c>
      <c r="L52" s="33" t="str">
        <f>('Materiálové hodnoty'!B47)</f>
        <v>EPS 20 (podlahový??)</v>
      </c>
      <c r="O52" s="34">
        <f>SUM($I$54*'Materiálové hodnoty'!$E$47*'Materiálové hodnoty'!J47*$K$52)</f>
        <v>0</v>
      </c>
      <c r="P52" s="34">
        <f>SUM($I$54*'Materiálové hodnoty'!$E$47*'Materiálové hodnoty'!K47*$K$52)</f>
        <v>0</v>
      </c>
      <c r="Q52" s="34">
        <f>SUM($I$54*'Materiálové hodnoty'!$E$47*'Materiálové hodnoty'!L47*$K$52)</f>
        <v>0</v>
      </c>
    </row>
    <row r="53" spans="1:17" ht="12.75">
      <c r="A53" s="58"/>
      <c r="B53" s="50">
        <v>45.5</v>
      </c>
      <c r="C53" s="50">
        <v>0.2</v>
      </c>
      <c r="D53" s="50">
        <v>0.32</v>
      </c>
      <c r="E53" s="51">
        <v>1</v>
      </c>
      <c r="F53" s="50">
        <f>SUM(B53*C53*D53*E53)</f>
        <v>2.912</v>
      </c>
      <c r="G53" s="50">
        <v>0</v>
      </c>
      <c r="H53" s="50">
        <f>SUM(F53:G53)</f>
        <v>2.912</v>
      </c>
      <c r="K53" s="52">
        <f>SUM(H53/I54)</f>
        <v>0.03441592209142911</v>
      </c>
      <c r="L53" s="33" t="str">
        <f>('Materiálové hodnoty'!B54)</f>
        <v>XPS vypeňované CO2</v>
      </c>
      <c r="O53" s="34">
        <f>SUM($I$54*'Materiálové hodnoty'!$E$54*'Materiálové hodnoty'!J54*$K$53)</f>
        <v>11286.912</v>
      </c>
      <c r="P53" s="34">
        <f>SUM($I$54*'Materiálové hodnoty'!$E$54*'Materiálové hodnoty'!K54*$K$53)</f>
        <v>380.65664000000004</v>
      </c>
      <c r="Q53" s="34">
        <f>SUM($I$54*'Materiálové hodnoty'!$E$54*'Materiálové hodnoty'!L54*$K$53)</f>
        <v>2.3348416000000003</v>
      </c>
    </row>
    <row r="54" spans="1:17" ht="12.75">
      <c r="A54" s="58"/>
      <c r="B54" s="50">
        <v>0</v>
      </c>
      <c r="C54" s="50">
        <v>0</v>
      </c>
      <c r="D54" s="50">
        <v>0</v>
      </c>
      <c r="E54" s="51">
        <v>1</v>
      </c>
      <c r="F54" s="50">
        <f>SUM(B54*C54*D54*E54)</f>
        <v>0</v>
      </c>
      <c r="G54" s="50">
        <v>0</v>
      </c>
      <c r="H54" s="50">
        <f>SUM(F54:G54)</f>
        <v>0</v>
      </c>
      <c r="I54" s="31">
        <f>SUM(H52:H54)</f>
        <v>84.61200000000001</v>
      </c>
      <c r="J54" s="32" t="s">
        <v>31</v>
      </c>
      <c r="K54" s="52">
        <f>SUM(H52/I54)</f>
        <v>0.9655840779085708</v>
      </c>
      <c r="L54" s="33" t="str">
        <f>('Materiálové hodnoty'!B55)</f>
        <v>Penové sklo (drvené a komprimované 1,3)</v>
      </c>
      <c r="O54" s="34">
        <f>SUM($I$54*'Materiálové hodnoty'!$E$55*'Materiálové hodnoty'!J55*$K$54)</f>
        <v>74384.17349999999</v>
      </c>
      <c r="P54" s="34">
        <f>SUM($I$54*'Materiálové hodnoty'!$E$55*'Materiálové hodnoty'!K55*$K$54)</f>
        <v>3880.9134</v>
      </c>
      <c r="Q54" s="34">
        <f>SUM($I$54*'Materiálové hodnoty'!$E$55*'Materiálové hodnoty'!L55*$K$54)</f>
        <v>14.8322265</v>
      </c>
    </row>
    <row r="55" spans="1:17" ht="12.75">
      <c r="A55" s="58"/>
      <c r="B55" s="50">
        <v>0</v>
      </c>
      <c r="C55" s="50">
        <v>0</v>
      </c>
      <c r="D55" s="50">
        <v>0</v>
      </c>
      <c r="E55" s="51">
        <v>1</v>
      </c>
      <c r="F55" s="50">
        <f>SUM(B55*C55*D55*E55)</f>
        <v>0</v>
      </c>
      <c r="G55" s="50">
        <v>0</v>
      </c>
      <c r="H55" s="50">
        <f>SUM(F55:G55)</f>
        <v>0</v>
      </c>
      <c r="K55" s="52">
        <v>0</v>
      </c>
      <c r="L55" s="33" t="str">
        <f>('Materiálové hodnoty'!B54)</f>
        <v>XPS vypeňované CO2</v>
      </c>
      <c r="O55" s="34">
        <f>SUM($I$58*'Materiálové hodnoty'!$E$54*'Materiálové hodnoty'!J54*$K$55)</f>
        <v>0</v>
      </c>
      <c r="P55" s="34">
        <f>SUM($I$58*'Materiálové hodnoty'!$E$54*'Materiálové hodnoty'!K54*$K$55)</f>
        <v>0</v>
      </c>
      <c r="Q55" s="34">
        <f>SUM($I$58*'Materiálové hodnoty'!$E$54*'Materiálové hodnoty'!L54*$K$55)</f>
        <v>0</v>
      </c>
    </row>
    <row r="56" spans="1:17" ht="12.75">
      <c r="A56" s="58"/>
      <c r="B56" s="50">
        <v>0</v>
      </c>
      <c r="C56" s="50">
        <v>0</v>
      </c>
      <c r="D56" s="50">
        <v>0</v>
      </c>
      <c r="E56" s="51">
        <v>1</v>
      </c>
      <c r="F56" s="50">
        <f>SUM(B56*C56*D56*E56)</f>
        <v>0</v>
      </c>
      <c r="G56" s="50">
        <v>0</v>
      </c>
      <c r="H56" s="50">
        <f>SUM(F56:G56)</f>
        <v>0</v>
      </c>
      <c r="I56"/>
      <c r="J56"/>
      <c r="K56" s="52">
        <v>0</v>
      </c>
      <c r="L56" s="33" t="str">
        <f>('Materiálové hodnoty'!B55)</f>
        <v>Penové sklo (drvené a komprimované 1,3)</v>
      </c>
      <c r="O56" s="34">
        <f>SUM($I$58*'Materiálové hodnoty'!$E$55*'Materiálové hodnoty'!J55*$K$56)</f>
        <v>0</v>
      </c>
      <c r="P56" s="34">
        <f>SUM($I$58*'Materiálové hodnoty'!$E$55*'Materiálové hodnoty'!K55*$K$56)</f>
        <v>0</v>
      </c>
      <c r="Q56" s="34">
        <f>SUM($I$58*'Materiálové hodnoty'!$E$55*'Materiálové hodnoty'!L55*$K$56)</f>
        <v>0</v>
      </c>
    </row>
    <row r="57" spans="2:17" ht="12.75">
      <c r="B57" s="50">
        <v>0</v>
      </c>
      <c r="C57" s="50">
        <v>0</v>
      </c>
      <c r="D57" s="50">
        <v>0</v>
      </c>
      <c r="E57" s="51">
        <v>1</v>
      </c>
      <c r="F57" s="50">
        <f>SUM(B57*C57*D57*E57)</f>
        <v>0</v>
      </c>
      <c r="G57" s="50">
        <v>0</v>
      </c>
      <c r="H57" s="50">
        <f>SUM(F57:G57)</f>
        <v>0</v>
      </c>
      <c r="I57"/>
      <c r="J57"/>
      <c r="K57" s="52">
        <f>SUM(H57+H58)/I58</f>
        <v>0</v>
      </c>
      <c r="L57" s="33" t="str">
        <f>'Materiálové hodnoty'!B41</f>
        <v>Penové sklo (dosky)</v>
      </c>
      <c r="O57" s="34">
        <f>SUM($I$58*'Materiálové hodnoty'!$E41*'Materiálové hodnoty'!J41*$K57)</f>
        <v>0</v>
      </c>
      <c r="P57" s="34">
        <f>SUM($I$58*'Materiálové hodnoty'!$E41*'Materiálové hodnoty'!K41*$K57)</f>
        <v>0</v>
      </c>
      <c r="Q57" s="34">
        <f>SUM($I$58*'Materiálové hodnoty'!$E41*'Materiálové hodnoty'!L41*$K57)</f>
        <v>0</v>
      </c>
    </row>
    <row r="58" spans="2:17" ht="12.75">
      <c r="B58" s="50">
        <v>0</v>
      </c>
      <c r="C58" s="50">
        <v>0</v>
      </c>
      <c r="D58" s="50">
        <v>0</v>
      </c>
      <c r="E58" s="51">
        <v>1</v>
      </c>
      <c r="F58" s="50">
        <f>SUM(B58*C58*D58*E58)</f>
        <v>0</v>
      </c>
      <c r="G58" s="50">
        <v>0</v>
      </c>
      <c r="H58" s="50">
        <f>SUM(F58:G58)</f>
        <v>0</v>
      </c>
      <c r="I58" s="31">
        <f>SUM(H52:H58)</f>
        <v>84.61200000000001</v>
      </c>
      <c r="J58" s="32" t="s">
        <v>31</v>
      </c>
      <c r="K58" s="52">
        <v>0</v>
      </c>
      <c r="L58" s="33" t="str">
        <f>'Materiálové hodnoty'!B42</f>
        <v>Purenit</v>
      </c>
      <c r="O58" s="34">
        <f>SUM($I$58*'Materiálové hodnoty'!$E42*'Materiálové hodnoty'!J42*$K58)</f>
        <v>0</v>
      </c>
      <c r="P58" s="34">
        <f>SUM($I$58*'Materiálové hodnoty'!$E42*'Materiálové hodnoty'!K42*$K58)</f>
        <v>0</v>
      </c>
      <c r="Q58" s="34">
        <f>SUM($I$58*'Materiálové hodnoty'!$E42*'Materiálové hodnoty'!L42*$K58)</f>
        <v>0</v>
      </c>
    </row>
    <row r="60" spans="1:17" s="21" customFormat="1" ht="15">
      <c r="A60" s="42" t="s">
        <v>50</v>
      </c>
      <c r="B60" s="43"/>
      <c r="C60" s="43"/>
      <c r="D60" s="43"/>
      <c r="E60" s="44"/>
      <c r="F60" s="43"/>
      <c r="G60" s="43"/>
      <c r="H60" s="43"/>
      <c r="I60" s="42"/>
      <c r="J60" s="42"/>
      <c r="K60" s="42"/>
      <c r="L60" s="45"/>
      <c r="M60" s="45"/>
      <c r="N60" s="45"/>
      <c r="O60" s="46">
        <f>SUM(O62:O87)</f>
        <v>30158.5</v>
      </c>
      <c r="P60" s="46">
        <f>SUM(P62:P87)</f>
        <v>-15036.5</v>
      </c>
      <c r="Q60" s="46">
        <f>SUM(Q62:Q87)</f>
        <v>16.995150000000002</v>
      </c>
    </row>
    <row r="62" spans="1:11" ht="12.75">
      <c r="A62" s="31" t="s">
        <v>51</v>
      </c>
      <c r="B62" s="47" t="s">
        <v>23</v>
      </c>
      <c r="C62" s="47" t="s">
        <v>52</v>
      </c>
      <c r="D62" s="47" t="s">
        <v>53</v>
      </c>
      <c r="E62" s="30" t="s">
        <v>26</v>
      </c>
      <c r="F62" s="47" t="s">
        <v>27</v>
      </c>
      <c r="G62" s="47" t="s">
        <v>28</v>
      </c>
      <c r="H62" s="47" t="s">
        <v>29</v>
      </c>
      <c r="I62" s="48" t="s">
        <v>30</v>
      </c>
      <c r="J62" s="49"/>
      <c r="K62" s="48"/>
    </row>
    <row r="63" spans="1:17" ht="12.75">
      <c r="A63" s="59" t="s">
        <v>54</v>
      </c>
      <c r="B63" s="50">
        <v>205</v>
      </c>
      <c r="C63" s="50">
        <v>1</v>
      </c>
      <c r="D63" s="50">
        <v>0.09</v>
      </c>
      <c r="E63" s="51">
        <v>1</v>
      </c>
      <c r="F63" s="50">
        <f>SUM(B63*C63*D63*E63)</f>
        <v>18.45</v>
      </c>
      <c r="G63" s="50">
        <v>0</v>
      </c>
      <c r="H63" s="50">
        <f>SUM(F63:G63)</f>
        <v>18.45</v>
      </c>
      <c r="K63" s="52">
        <v>0</v>
      </c>
      <c r="L63" s="33" t="str">
        <f>'Materiálové hodnoty'!B10</f>
        <v>Stavebné drevo sušené na vzduchu</v>
      </c>
      <c r="O63" s="34">
        <f>SUM($I$72*'Materiálové hodnoty'!$E10*'Materiálové hodnoty'!J10*$K63)</f>
        <v>0</v>
      </c>
      <c r="P63" s="34">
        <f>SUM($I$72*'Materiálové hodnoty'!$E10*'Materiálové hodnoty'!K10*$K63)</f>
        <v>0</v>
      </c>
      <c r="Q63" s="34">
        <f>SUM($I$72*'Materiálové hodnoty'!$E10*'Materiálové hodnoty'!L10*$K63)</f>
        <v>0</v>
      </c>
    </row>
    <row r="64" spans="1:17" ht="12.75">
      <c r="A64" s="59" t="s">
        <v>55</v>
      </c>
      <c r="B64" s="50">
        <v>0</v>
      </c>
      <c r="C64" s="50">
        <v>0</v>
      </c>
      <c r="D64" s="50">
        <v>0</v>
      </c>
      <c r="E64" s="51">
        <v>1</v>
      </c>
      <c r="F64" s="50">
        <f>SUM(B64*C64*D64*E64)</f>
        <v>0</v>
      </c>
      <c r="G64" s="50">
        <v>0</v>
      </c>
      <c r="H64" s="50">
        <f>SUM(F64:G64)</f>
        <v>0</v>
      </c>
      <c r="K64" s="52">
        <v>0</v>
      </c>
      <c r="L64" s="33" t="str">
        <f>'Materiálové hodnoty'!B11</f>
        <v>Stavebné drevo technicky sušené</v>
      </c>
      <c r="O64" s="34">
        <f>SUM($I$72*'Materiálové hodnoty'!$E11*'Materiálové hodnoty'!J11*$K64)</f>
        <v>0</v>
      </c>
      <c r="P64" s="34">
        <f>SUM($I$72*'Materiálové hodnoty'!$E11*'Materiálové hodnoty'!K11*$K64)</f>
        <v>0</v>
      </c>
      <c r="Q64" s="34">
        <f>SUM($I$72*'Materiálové hodnoty'!$E11*'Materiálové hodnoty'!L11*$K64)</f>
        <v>0</v>
      </c>
    </row>
    <row r="65" spans="1:17" ht="12.75">
      <c r="A65" s="59" t="s">
        <v>56</v>
      </c>
      <c r="B65" s="50">
        <v>0</v>
      </c>
      <c r="C65" s="50">
        <v>0</v>
      </c>
      <c r="D65" s="50">
        <v>0</v>
      </c>
      <c r="E65" s="51">
        <v>1</v>
      </c>
      <c r="F65" s="50">
        <f>SUM(B65*C65*D65*E65)</f>
        <v>0</v>
      </c>
      <c r="G65" s="50">
        <v>0</v>
      </c>
      <c r="H65" s="50">
        <f>SUM(F65:G65)</f>
        <v>0</v>
      </c>
      <c r="K65" s="52">
        <v>0</v>
      </c>
      <c r="L65" s="33" t="str">
        <f>'Materiálové hodnoty'!B12</f>
        <v>Lepené drevené hranoly</v>
      </c>
      <c r="O65" s="34">
        <f>SUM($I$72*'Materiálové hodnoty'!$E12*'Materiálové hodnoty'!J12*$K65)</f>
        <v>0</v>
      </c>
      <c r="P65" s="34">
        <f>SUM($I$72*'Materiálové hodnoty'!$E12*'Materiálové hodnoty'!K12*$K65)</f>
        <v>0</v>
      </c>
      <c r="Q65" s="34">
        <f>SUM($I$72*'Materiálové hodnoty'!$E12*'Materiálové hodnoty'!L12*$K65)</f>
        <v>0</v>
      </c>
    </row>
    <row r="66" spans="1:17" ht="12.75">
      <c r="A66" s="59" t="s">
        <v>57</v>
      </c>
      <c r="B66" s="50">
        <v>0</v>
      </c>
      <c r="C66" s="50">
        <v>0</v>
      </c>
      <c r="D66" s="50">
        <v>0</v>
      </c>
      <c r="E66" s="51">
        <v>1</v>
      </c>
      <c r="F66" s="50">
        <f>SUM(B66*C66*D66*E66)</f>
        <v>0</v>
      </c>
      <c r="G66" s="50">
        <v>0</v>
      </c>
      <c r="H66" s="50">
        <f>SUM(F66:G66)</f>
        <v>0</v>
      </c>
      <c r="K66" s="52">
        <v>1</v>
      </c>
      <c r="L66" s="33" t="str">
        <f>'Materiálové hodnoty'!B13</f>
        <v>Krížom spojené drevené dosky</v>
      </c>
      <c r="O66" s="34">
        <f>SUM($I$72*'Materiálové hodnoty'!$E13*'Materiálové hodnoty'!J13*$K66)</f>
        <v>29704.5</v>
      </c>
      <c r="P66" s="34">
        <f>SUM($I$72*'Materiálové hodnoty'!$E13*'Materiálové hodnoty'!K13*$K66)</f>
        <v>-15055.2</v>
      </c>
      <c r="Q66" s="34">
        <f>SUM($I$72*'Materiálové hodnoty'!$E13*'Materiálové hodnoty'!L13*$K66)</f>
        <v>16.881750000000004</v>
      </c>
    </row>
    <row r="67" spans="1:17" ht="12.75">
      <c r="A67" s="60" t="s">
        <v>58</v>
      </c>
      <c r="B67" s="50">
        <v>0</v>
      </c>
      <c r="C67" s="50">
        <v>0</v>
      </c>
      <c r="D67" s="50">
        <v>0</v>
      </c>
      <c r="E67" s="51">
        <v>1</v>
      </c>
      <c r="F67" s="50">
        <f>SUM(B67*C67*D67*E67)</f>
        <v>0</v>
      </c>
      <c r="G67" s="50">
        <v>0</v>
      </c>
      <c r="H67" s="50">
        <f>SUM(F67:G67)</f>
        <v>0</v>
      </c>
      <c r="I67"/>
      <c r="J67"/>
      <c r="K67" s="52">
        <v>0</v>
      </c>
      <c r="L67" s="33" t="str">
        <f>'Materiálové hodnoty'!B14</f>
        <v>Normalný betón (bez armovania)</v>
      </c>
      <c r="O67" s="34">
        <f>SUM($I$72*'Materiálové hodnoty'!$E14*'Materiálové hodnoty'!J14*$K67)</f>
        <v>0</v>
      </c>
      <c r="P67" s="34">
        <f>SUM($I$72*'Materiálové hodnoty'!$E14*'Materiálové hodnoty'!K14*$K67)</f>
        <v>0</v>
      </c>
      <c r="Q67" s="34">
        <f>SUM($I$72*'Materiálové hodnoty'!$E14*'Materiálové hodnoty'!L14*$K67)</f>
        <v>0</v>
      </c>
    </row>
    <row r="68" spans="1:17" ht="12.75">
      <c r="A68" s="60" t="s">
        <v>58</v>
      </c>
      <c r="B68" s="50">
        <v>0</v>
      </c>
      <c r="C68" s="50">
        <v>0</v>
      </c>
      <c r="D68" s="50">
        <v>0</v>
      </c>
      <c r="E68" s="51">
        <v>1</v>
      </c>
      <c r="F68" s="50">
        <f>SUM(B68*C68*D68*E68)</f>
        <v>0</v>
      </c>
      <c r="G68" s="50">
        <v>0</v>
      </c>
      <c r="H68" s="50">
        <f>SUM(F68:G68)</f>
        <v>0</v>
      </c>
      <c r="K68" s="52">
        <v>0</v>
      </c>
      <c r="L68" s="33" t="str">
        <f>'Materiálové hodnoty'!B15</f>
        <v>Keramzit betón</v>
      </c>
      <c r="O68" s="34">
        <f>SUM($I$72*'Materiálové hodnoty'!$E15*'Materiálové hodnoty'!J15*$K68)</f>
        <v>0</v>
      </c>
      <c r="P68" s="34">
        <f>SUM($I$72*'Materiálové hodnoty'!$E15*'Materiálové hodnoty'!K15*$K68)</f>
        <v>0</v>
      </c>
      <c r="Q68" s="34">
        <f>SUM($I$72*'Materiálové hodnoty'!$E15*'Materiálové hodnoty'!L15*$K68)</f>
        <v>0</v>
      </c>
    </row>
    <row r="69" spans="1:17" ht="12.75">
      <c r="A69" s="60" t="s">
        <v>58</v>
      </c>
      <c r="B69" s="50">
        <v>0</v>
      </c>
      <c r="C69" s="50">
        <v>0</v>
      </c>
      <c r="D69" s="50">
        <v>0</v>
      </c>
      <c r="E69" s="51">
        <v>1</v>
      </c>
      <c r="F69" s="50">
        <f>SUM(B69*C69*D69*E69)</f>
        <v>0</v>
      </c>
      <c r="G69" s="50">
        <v>0</v>
      </c>
      <c r="H69" s="50">
        <f>SUM(F69:G69)</f>
        <v>0</v>
      </c>
      <c r="K69" s="52">
        <v>0</v>
      </c>
      <c r="L69" s="33" t="str">
        <f>'Materiálové hodnoty'!B16</f>
        <v>Betónové šalovacie tvárnice (bez jadra)</v>
      </c>
      <c r="O69" s="34">
        <f>SUM($I$72*'Materiálové hodnoty'!$E16*'Materiálové hodnoty'!J16*$K69)</f>
        <v>0</v>
      </c>
      <c r="P69" s="34">
        <f>SUM($I$72*'Materiálové hodnoty'!$E16*'Materiálové hodnoty'!K16*$K69)</f>
        <v>0</v>
      </c>
      <c r="Q69" s="34">
        <f>SUM($I$72*'Materiálové hodnoty'!$E16*'Materiálové hodnoty'!L16*$K69)</f>
        <v>0</v>
      </c>
    </row>
    <row r="70" spans="1:11" ht="12.75">
      <c r="A70" s="60" t="s">
        <v>58</v>
      </c>
      <c r="B70" s="50">
        <v>0</v>
      </c>
      <c r="C70" s="50">
        <v>0</v>
      </c>
      <c r="D70" s="50">
        <v>0</v>
      </c>
      <c r="E70" s="51">
        <v>1</v>
      </c>
      <c r="F70" s="50">
        <f>SUM(B70*C70*D70*E70)</f>
        <v>0</v>
      </c>
      <c r="G70" s="50">
        <v>0</v>
      </c>
      <c r="H70" s="50">
        <f>SUM(F70:G70)</f>
        <v>0</v>
      </c>
      <c r="K70" s="52"/>
    </row>
    <row r="71" spans="1:12" ht="12.75">
      <c r="A71" s="61" t="s">
        <v>59</v>
      </c>
      <c r="B71" s="50">
        <v>0</v>
      </c>
      <c r="C71" s="50">
        <v>0</v>
      </c>
      <c r="D71" s="50">
        <v>0</v>
      </c>
      <c r="E71" s="53">
        <v>-1</v>
      </c>
      <c r="F71" s="50">
        <f>SUM(B71*C71*D71*E72)</f>
        <v>0</v>
      </c>
      <c r="G71" s="50">
        <v>0</v>
      </c>
      <c r="H71" s="50">
        <f>SUM(F71:G71)</f>
        <v>0</v>
      </c>
      <c r="K71" s="52"/>
      <c r="L71" s="62"/>
    </row>
    <row r="72" spans="1:17" ht="12.75">
      <c r="A72" s="61" t="s">
        <v>59</v>
      </c>
      <c r="B72" s="50">
        <v>0</v>
      </c>
      <c r="C72" s="50">
        <v>0</v>
      </c>
      <c r="D72" s="50">
        <v>0</v>
      </c>
      <c r="E72" s="53">
        <v>-1</v>
      </c>
      <c r="F72" s="50">
        <f>SUM(B72*C72*D72*E75)</f>
        <v>0</v>
      </c>
      <c r="G72" s="50">
        <v>0</v>
      </c>
      <c r="H72" s="50">
        <f>SUM(F72:G72)</f>
        <v>0</v>
      </c>
      <c r="I72" s="31">
        <f>SUM(H63:H72)</f>
        <v>18.45</v>
      </c>
      <c r="J72" s="32" t="s">
        <v>31</v>
      </c>
      <c r="K72" s="52">
        <v>0</v>
      </c>
      <c r="L72" s="33" t="str">
        <f>'Materiálové hodnoty'!$B$17</f>
        <v>Železobetón</v>
      </c>
      <c r="O72" s="34">
        <f>SUM($I72*'Materiálové hodnoty'!$E$17*'Materiálové hodnoty'!$J$17*$K72)</f>
        <v>0</v>
      </c>
      <c r="P72" s="34">
        <f>SUM($I72*'Materiálové hodnoty'!$E$17*'Materiálové hodnoty'!$K$17*$K72)</f>
        <v>0</v>
      </c>
      <c r="Q72" s="34">
        <f>SUM($I72*'Materiálové hodnoty'!$E$17*'Materiálové hodnoty'!$L$17*$K72)</f>
        <v>0</v>
      </c>
    </row>
    <row r="73" spans="1:17" ht="12.75">
      <c r="A73" s="61"/>
      <c r="B73" s="50"/>
      <c r="C73" s="50"/>
      <c r="D73" s="50"/>
      <c r="E73" s="53"/>
      <c r="F73" s="50"/>
      <c r="G73" s="50"/>
      <c r="H73" s="50"/>
      <c r="I73" s="31">
        <v>0.9</v>
      </c>
      <c r="J73" s="32" t="s">
        <v>41</v>
      </c>
      <c r="K73" s="52">
        <v>0</v>
      </c>
      <c r="L73" s="33" t="s">
        <v>42</v>
      </c>
      <c r="M73" s="55">
        <f>SUM(I72*I73/100*7800*K73)</f>
        <v>0</v>
      </c>
      <c r="N73" s="33" t="s">
        <v>43</v>
      </c>
      <c r="O73" s="34">
        <f>SUM('Materiálové hodnoty'!$E$18*'Materiálové hodnoty'!$J$18*$I72*$I73*0.01*$K73)</f>
        <v>0</v>
      </c>
      <c r="P73" s="34">
        <f>SUM('Materiálové hodnoty'!$E$18*'Materiálové hodnoty'!$K$18*$I72*$I73*0.01*$K73)</f>
        <v>0</v>
      </c>
      <c r="Q73" s="34">
        <f>SUM('Materiálové hodnoty'!$E$18*'Materiálové hodnoty'!$L$18*$I72*$I73*0.01*$K73)</f>
        <v>0</v>
      </c>
    </row>
    <row r="74" spans="1:17" ht="12.75">
      <c r="A74" s="61"/>
      <c r="B74" s="50"/>
      <c r="C74" s="50"/>
      <c r="D74" s="50"/>
      <c r="E74" s="53"/>
      <c r="F74" s="50"/>
      <c r="G74" s="50"/>
      <c r="H74" s="50"/>
      <c r="I74" s="31">
        <v>0</v>
      </c>
      <c r="J74" s="32" t="s">
        <v>43</v>
      </c>
      <c r="K74" s="52">
        <v>0</v>
      </c>
      <c r="L74" s="33" t="s">
        <v>42</v>
      </c>
      <c r="O74" s="34">
        <f>SUM($I74*'Materiálové hodnoty'!$J$18*$K74)</f>
        <v>0</v>
      </c>
      <c r="P74" s="34">
        <f>SUM($I74*'Materiálové hodnoty'!$K$18*$K74)</f>
        <v>0</v>
      </c>
      <c r="Q74" s="34">
        <f>SUM($I74*'Materiálové hodnoty'!$L$18*$K74)</f>
        <v>0</v>
      </c>
    </row>
    <row r="75" spans="5:12" ht="12.75">
      <c r="E75" s="53"/>
      <c r="K75" s="32"/>
      <c r="L75" s="62"/>
    </row>
    <row r="76" spans="11:17" ht="12.75">
      <c r="K76" s="52">
        <v>0</v>
      </c>
      <c r="L76" s="62" t="str">
        <f>'Materiálové hodnoty'!B23</f>
        <v>Tehla dierovaná</v>
      </c>
      <c r="O76" s="34">
        <f>SUM($I$72*'Materiálové hodnoty'!$E23*'Materiálové hodnoty'!J23*$K76)</f>
        <v>0</v>
      </c>
      <c r="P76" s="34">
        <f>SUM($I$72*'Materiálové hodnoty'!$E23*'Materiálové hodnoty'!K23*$K76)</f>
        <v>0</v>
      </c>
      <c r="Q76" s="34">
        <f>SUM($I$72*'Materiálové hodnoty'!$E23*'Materiálové hodnoty'!L23*$K76)</f>
        <v>0</v>
      </c>
    </row>
    <row r="77" spans="11:17" ht="12.75">
      <c r="K77" s="52">
        <v>0</v>
      </c>
      <c r="L77" s="62" t="str">
        <f>'Materiálové hodnoty'!B24</f>
        <v>Hlina masívna</v>
      </c>
      <c r="O77" s="34">
        <f>SUM($I$72*'Materiálové hodnoty'!$E24*'Materiálové hodnoty'!J24*$K77)</f>
        <v>0</v>
      </c>
      <c r="P77" s="34">
        <f>SUM($I$72*'Materiálové hodnoty'!$E24*'Materiálové hodnoty'!K24*$K77)</f>
        <v>0</v>
      </c>
      <c r="Q77" s="34">
        <f>SUM($I$72*'Materiálové hodnoty'!$E24*'Materiálové hodnoty'!L24*$K77)</f>
        <v>0</v>
      </c>
    </row>
    <row r="78" spans="11:17" ht="12.75">
      <c r="K78" s="52">
        <v>0</v>
      </c>
      <c r="L78" s="62" t="str">
        <f>'Materiálové hodnoty'!B25</f>
        <v>Plynosilikát (Pórobetón)</v>
      </c>
      <c r="O78" s="34">
        <f>SUM($I$72*'Materiálové hodnoty'!$E25*'Materiálové hodnoty'!J25*$K78)</f>
        <v>0</v>
      </c>
      <c r="P78" s="34">
        <f>SUM($I$72*'Materiálové hodnoty'!$E25*'Materiálové hodnoty'!K25*$K78)</f>
        <v>0</v>
      </c>
      <c r="Q78" s="34">
        <f>SUM($I$72*'Materiálové hodnoty'!$E25*'Materiálové hodnoty'!L25*$K78)</f>
        <v>0</v>
      </c>
    </row>
    <row r="79" spans="11:17" ht="12.75">
      <c r="K79" s="52">
        <v>0</v>
      </c>
      <c r="L79" s="62" t="str">
        <f>'Materiálové hodnoty'!B26</f>
        <v>Vápennopieskové tehly</v>
      </c>
      <c r="O79" s="34">
        <f>SUM($I$72*'Materiálové hodnoty'!$E26*'Materiálové hodnoty'!J26*$K79)</f>
        <v>0</v>
      </c>
      <c r="P79" s="34">
        <f>SUM($I$72*'Materiálové hodnoty'!$E26*'Materiálové hodnoty'!K26*$K79)</f>
        <v>0</v>
      </c>
      <c r="Q79" s="34">
        <f>SUM($I$72*'Materiálové hodnoty'!$E26*'Materiálové hodnoty'!L26*$K79)</f>
        <v>0</v>
      </c>
    </row>
    <row r="80" spans="11:12" ht="12.75">
      <c r="K80" s="32"/>
      <c r="L80" s="62"/>
    </row>
    <row r="81" spans="1:11" ht="12.75">
      <c r="A81" s="31" t="s">
        <v>60</v>
      </c>
      <c r="B81" s="47" t="s">
        <v>23</v>
      </c>
      <c r="C81" s="47" t="s">
        <v>24</v>
      </c>
      <c r="D81" s="47" t="s">
        <v>61</v>
      </c>
      <c r="E81" s="30" t="s">
        <v>26</v>
      </c>
      <c r="F81" s="47" t="s">
        <v>27</v>
      </c>
      <c r="G81" s="47" t="s">
        <v>28</v>
      </c>
      <c r="H81" s="47" t="s">
        <v>29</v>
      </c>
      <c r="I81" s="48" t="s">
        <v>30</v>
      </c>
      <c r="J81" s="49"/>
      <c r="K81" s="48"/>
    </row>
    <row r="82" spans="2:8" ht="12.75">
      <c r="B82" s="50">
        <v>0</v>
      </c>
      <c r="C82" s="50">
        <v>0</v>
      </c>
      <c r="D82" s="50">
        <v>0</v>
      </c>
      <c r="E82" s="51">
        <v>1</v>
      </c>
      <c r="F82" s="50">
        <f>SUM(B82*C82*D82*E82)</f>
        <v>0</v>
      </c>
      <c r="G82" s="50">
        <v>0</v>
      </c>
      <c r="H82" s="50">
        <f>SUM(F82:G82)</f>
        <v>0</v>
      </c>
    </row>
    <row r="83" spans="2:8" ht="12.75">
      <c r="B83" s="50">
        <v>0</v>
      </c>
      <c r="C83" s="50">
        <v>0</v>
      </c>
      <c r="D83" s="50">
        <v>0</v>
      </c>
      <c r="E83" s="51">
        <v>1</v>
      </c>
      <c r="F83" s="50">
        <f>SUM(B83*C83*D83*E83)</f>
        <v>0</v>
      </c>
      <c r="G83" s="50">
        <v>0</v>
      </c>
      <c r="H83" s="50">
        <f>SUM(F83:G83)</f>
        <v>0</v>
      </c>
    </row>
    <row r="84" spans="2:17" ht="12.75">
      <c r="B84" s="50">
        <v>0</v>
      </c>
      <c r="C84" s="50">
        <v>0</v>
      </c>
      <c r="D84" s="50">
        <v>0</v>
      </c>
      <c r="E84" s="51">
        <v>1</v>
      </c>
      <c r="F84" s="50">
        <f>SUM(B84*C84*D84*E84)</f>
        <v>0</v>
      </c>
      <c r="G84" s="50">
        <v>0</v>
      </c>
      <c r="H84" s="50">
        <f>SUM(F84:G84)</f>
        <v>0</v>
      </c>
      <c r="I84" s="31">
        <f>SUM(H82:H84)</f>
        <v>0</v>
      </c>
      <c r="J84" s="32" t="s">
        <v>31</v>
      </c>
      <c r="K84" s="52">
        <v>0</v>
      </c>
      <c r="L84" s="33" t="str">
        <f>('Materiálové hodnoty'!B17)</f>
        <v>Železobetón</v>
      </c>
      <c r="O84" s="34">
        <f>SUM($I$84*'Materiálové hodnoty'!$E$17*'Materiálové hodnoty'!J17*$K$84)</f>
        <v>0</v>
      </c>
      <c r="P84" s="34">
        <f>SUM($I$84*'Materiálové hodnoty'!$E$17*'Materiálové hodnoty'!K17*$K$84)</f>
        <v>0</v>
      </c>
      <c r="Q84" s="34">
        <f>SUM($I$84*'Materiálové hodnoty'!$E$17*'Materiálové hodnoty'!L17*$K$84)</f>
        <v>0</v>
      </c>
    </row>
    <row r="85" spans="9:17" ht="12.75">
      <c r="I85" s="52">
        <v>0.8</v>
      </c>
      <c r="J85" s="32" t="s">
        <v>41</v>
      </c>
      <c r="K85" s="52">
        <v>0</v>
      </c>
      <c r="L85" s="33" t="s">
        <v>42</v>
      </c>
      <c r="M85" s="55">
        <f>SUM(I84*I85/100*7800*K85)</f>
        <v>0</v>
      </c>
      <c r="N85" s="33" t="s">
        <v>43</v>
      </c>
      <c r="O85" s="34">
        <f>SUM('Materiálové hodnoty'!$E$18*'Materiálové hodnoty'!J18*$I$84*$I$85*0.01*$K$85)</f>
        <v>0</v>
      </c>
      <c r="P85" s="34">
        <f>SUM('Materiálové hodnoty'!$E$18*'Materiálové hodnoty'!K18*$I$84*$I$85*0.01*$K$85)</f>
        <v>0</v>
      </c>
      <c r="Q85" s="34">
        <f>SUM('Materiálové hodnoty'!$E$18*'Materiálové hodnoty'!L18*$I$84*$I$85*0.01*$K$85)</f>
        <v>0</v>
      </c>
    </row>
    <row r="86" spans="9:17" ht="12.75">
      <c r="I86" s="52">
        <v>20</v>
      </c>
      <c r="J86" s="32" t="s">
        <v>43</v>
      </c>
      <c r="K86" s="52">
        <v>1</v>
      </c>
      <c r="L86" s="33" t="s">
        <v>42</v>
      </c>
      <c r="O86" s="34">
        <f>SUM($I$86*'Materiálové hodnoty'!J18*$K86)</f>
        <v>454</v>
      </c>
      <c r="P86" s="34">
        <f>SUM($I$86*'Materiálové hodnoty'!K18*$K86)</f>
        <v>18.700000000000003</v>
      </c>
      <c r="Q86" s="34">
        <f>SUM($I$86*'Materiálové hodnoty'!L18*$K86)</f>
        <v>0.11340000000000001</v>
      </c>
    </row>
    <row r="87" spans="11:12" ht="12.75">
      <c r="K87" s="32"/>
      <c r="L87" s="62"/>
    </row>
    <row r="88" ht="12.75">
      <c r="L88" s="62"/>
    </row>
    <row r="89" spans="1:17" ht="15">
      <c r="A89" s="42" t="s">
        <v>62</v>
      </c>
      <c r="B89" s="43"/>
      <c r="C89" s="43"/>
      <c r="D89" s="43"/>
      <c r="E89" s="44"/>
      <c r="F89" s="43"/>
      <c r="G89" s="43"/>
      <c r="H89" s="43"/>
      <c r="I89" s="42"/>
      <c r="J89" s="42"/>
      <c r="K89" s="42"/>
      <c r="L89" s="45"/>
      <c r="M89" s="45"/>
      <c r="N89" s="45"/>
      <c r="O89" s="46">
        <f>SUM(O91:O109)</f>
        <v>15214.500000000002</v>
      </c>
      <c r="P89" s="46">
        <f>SUM(P91:P109)</f>
        <v>-7711.200000000001</v>
      </c>
      <c r="Q89" s="46">
        <f>SUM(Q91:Q109)</f>
        <v>8.64675</v>
      </c>
    </row>
    <row r="91" spans="1:11" ht="12.75">
      <c r="A91" s="31" t="s">
        <v>62</v>
      </c>
      <c r="B91" s="47" t="s">
        <v>23</v>
      </c>
      <c r="C91" s="47" t="s">
        <v>52</v>
      </c>
      <c r="D91" s="47" t="s">
        <v>53</v>
      </c>
      <c r="E91" s="30" t="s">
        <v>26</v>
      </c>
      <c r="F91" s="47" t="s">
        <v>27</v>
      </c>
      <c r="G91" s="47" t="s">
        <v>28</v>
      </c>
      <c r="H91" s="47" t="s">
        <v>29</v>
      </c>
      <c r="I91" s="48" t="s">
        <v>30</v>
      </c>
      <c r="J91" s="49"/>
      <c r="K91" s="48"/>
    </row>
    <row r="92" spans="1:17" ht="12.75">
      <c r="A92" s="59" t="s">
        <v>63</v>
      </c>
      <c r="B92" s="50">
        <v>105</v>
      </c>
      <c r="C92" s="50">
        <v>1</v>
      </c>
      <c r="D92" s="50">
        <v>0.09</v>
      </c>
      <c r="E92" s="51">
        <v>1</v>
      </c>
      <c r="F92" s="50">
        <f>SUM(B92*C92*D92*E92)</f>
        <v>9.45</v>
      </c>
      <c r="G92" s="50">
        <v>0</v>
      </c>
      <c r="H92" s="50">
        <f>SUM(F92:G92)</f>
        <v>9.45</v>
      </c>
      <c r="K92" s="52">
        <v>0</v>
      </c>
      <c r="L92" s="33" t="str">
        <f>'Materiálové hodnoty'!B10</f>
        <v>Stavebné drevo sušené na vzduchu</v>
      </c>
      <c r="O92" s="34">
        <f>SUM($I$101*'Materiálové hodnoty'!$E10*'Materiálové hodnoty'!J10*$K92)</f>
        <v>0</v>
      </c>
      <c r="P92" s="34">
        <f>SUM($I$101*'Materiálové hodnoty'!$E10*'Materiálové hodnoty'!K10*$K92)</f>
        <v>0</v>
      </c>
      <c r="Q92" s="34">
        <f>SUM($I$101*'Materiálové hodnoty'!$E10*'Materiálové hodnoty'!L10*$K92)</f>
        <v>0</v>
      </c>
    </row>
    <row r="93" spans="1:17" ht="12.75">
      <c r="A93" s="59" t="s">
        <v>58</v>
      </c>
      <c r="B93" s="50">
        <v>0</v>
      </c>
      <c r="C93" s="50">
        <v>0</v>
      </c>
      <c r="D93" s="50">
        <v>0</v>
      </c>
      <c r="E93" s="51">
        <v>1</v>
      </c>
      <c r="F93" s="50">
        <f>SUM(B93*C93*D93*E93)</f>
        <v>0</v>
      </c>
      <c r="G93" s="50">
        <v>0</v>
      </c>
      <c r="H93" s="50">
        <f>SUM(F93:G93)</f>
        <v>0</v>
      </c>
      <c r="K93" s="52">
        <v>0</v>
      </c>
      <c r="L93" s="33" t="str">
        <f>'Materiálové hodnoty'!B11</f>
        <v>Stavebné drevo technicky sušené</v>
      </c>
      <c r="O93" s="34">
        <f>SUM($I$101*'Materiálové hodnoty'!$E11*'Materiálové hodnoty'!J11*$K93)</f>
        <v>0</v>
      </c>
      <c r="P93" s="34">
        <f>SUM($I$101*'Materiálové hodnoty'!$E11*'Materiálové hodnoty'!K11*$K93)</f>
        <v>0</v>
      </c>
      <c r="Q93" s="34">
        <f>SUM($I$101*'Materiálové hodnoty'!$E11*'Materiálové hodnoty'!L11*$K93)</f>
        <v>0</v>
      </c>
    </row>
    <row r="94" spans="1:17" ht="12.75">
      <c r="A94" s="59" t="s">
        <v>58</v>
      </c>
      <c r="B94" s="50">
        <v>0</v>
      </c>
      <c r="C94" s="50">
        <v>0</v>
      </c>
      <c r="D94" s="50">
        <v>0</v>
      </c>
      <c r="E94" s="51">
        <v>1</v>
      </c>
      <c r="F94" s="50">
        <f>SUM(B94*C94*D94*E94)</f>
        <v>0</v>
      </c>
      <c r="G94" s="50">
        <v>0</v>
      </c>
      <c r="H94" s="50">
        <f>SUM(F94:G94)</f>
        <v>0</v>
      </c>
      <c r="K94" s="52">
        <v>0</v>
      </c>
      <c r="L94" s="33" t="str">
        <f>'Materiálové hodnoty'!B12</f>
        <v>Lepené drevené hranoly</v>
      </c>
      <c r="O94" s="34">
        <f>SUM($I$101*'Materiálové hodnoty'!$E12*'Materiálové hodnoty'!J12*$K94)</f>
        <v>0</v>
      </c>
      <c r="P94" s="34">
        <f>SUM($I$101*'Materiálové hodnoty'!$E12*'Materiálové hodnoty'!K12*$K94)</f>
        <v>0</v>
      </c>
      <c r="Q94" s="34">
        <f>SUM($I$101*'Materiálové hodnoty'!$E12*'Materiálové hodnoty'!L12*$K94)</f>
        <v>0</v>
      </c>
    </row>
    <row r="95" spans="1:17" ht="12.75">
      <c r="A95" s="59" t="s">
        <v>58</v>
      </c>
      <c r="B95" s="50">
        <v>0</v>
      </c>
      <c r="C95" s="50">
        <v>0</v>
      </c>
      <c r="D95" s="50">
        <v>0</v>
      </c>
      <c r="E95" s="51">
        <v>1</v>
      </c>
      <c r="F95" s="50">
        <f>SUM(B95*C95*D95*E95)</f>
        <v>0</v>
      </c>
      <c r="G95" s="50">
        <v>0</v>
      </c>
      <c r="H95" s="50">
        <f>SUM(F95:G95)</f>
        <v>0</v>
      </c>
      <c r="K95" s="52">
        <v>1</v>
      </c>
      <c r="L95" s="33" t="str">
        <f>'Materiálové hodnoty'!B13</f>
        <v>Krížom spojené drevené dosky</v>
      </c>
      <c r="O95" s="34">
        <f>SUM($I$101*'Materiálové hodnoty'!$E13*'Materiálové hodnoty'!J13*$K95)</f>
        <v>15214.500000000002</v>
      </c>
      <c r="P95" s="34">
        <f>SUM($I$101*'Materiálové hodnoty'!$E13*'Materiálové hodnoty'!K13*$K95)</f>
        <v>-7711.200000000001</v>
      </c>
      <c r="Q95" s="34">
        <f>SUM($I$101*'Materiálové hodnoty'!$E13*'Materiálové hodnoty'!L13*$K95)</f>
        <v>8.64675</v>
      </c>
    </row>
    <row r="96" spans="1:17" ht="12.75">
      <c r="A96" s="60" t="s">
        <v>58</v>
      </c>
      <c r="B96" s="50">
        <v>0</v>
      </c>
      <c r="C96" s="50">
        <v>0</v>
      </c>
      <c r="D96" s="50">
        <v>0</v>
      </c>
      <c r="E96" s="51">
        <v>1</v>
      </c>
      <c r="F96" s="50">
        <f>SUM(B96*C96*D96*E96)</f>
        <v>0</v>
      </c>
      <c r="G96" s="50">
        <v>0</v>
      </c>
      <c r="H96" s="50">
        <f>SUM(F96:G96)</f>
        <v>0</v>
      </c>
      <c r="I96"/>
      <c r="J96"/>
      <c r="K96" s="52">
        <v>0</v>
      </c>
      <c r="L96" s="33" t="str">
        <f>'Materiálové hodnoty'!B14</f>
        <v>Normalný betón (bez armovania)</v>
      </c>
      <c r="O96" s="34">
        <f>SUM($I$101*'Materiálové hodnoty'!$E14*'Materiálové hodnoty'!J14*$K96)</f>
        <v>0</v>
      </c>
      <c r="P96" s="34">
        <f>SUM($I$101*'Materiálové hodnoty'!$E14*'Materiálové hodnoty'!K14*$K96)</f>
        <v>0</v>
      </c>
      <c r="Q96" s="34">
        <f>SUM($I$101*'Materiálové hodnoty'!$E14*'Materiálové hodnoty'!L14*$K96)</f>
        <v>0</v>
      </c>
    </row>
    <row r="97" spans="1:17" ht="12.75">
      <c r="A97" s="60" t="s">
        <v>58</v>
      </c>
      <c r="B97" s="50">
        <v>0</v>
      </c>
      <c r="C97" s="50">
        <v>0</v>
      </c>
      <c r="D97" s="50">
        <v>0</v>
      </c>
      <c r="E97" s="51">
        <v>1</v>
      </c>
      <c r="F97" s="50">
        <f>SUM(B97*C97*D97*E97)</f>
        <v>0</v>
      </c>
      <c r="G97" s="50">
        <v>0</v>
      </c>
      <c r="H97" s="50">
        <f>SUM(F97:G97)</f>
        <v>0</v>
      </c>
      <c r="K97" s="52">
        <v>0</v>
      </c>
      <c r="L97" s="33" t="str">
        <f>'Materiálové hodnoty'!B15</f>
        <v>Keramzit betón</v>
      </c>
      <c r="O97" s="34">
        <f>SUM($I$101*'Materiálové hodnoty'!$E15*'Materiálové hodnoty'!J15*$K97)</f>
        <v>0</v>
      </c>
      <c r="P97" s="34">
        <f>SUM($I$101*'Materiálové hodnoty'!$E15*'Materiálové hodnoty'!K15*$K97)</f>
        <v>0</v>
      </c>
      <c r="Q97" s="34">
        <f>SUM($I$101*'Materiálové hodnoty'!$E15*'Materiálové hodnoty'!L15*$K97)</f>
        <v>0</v>
      </c>
    </row>
    <row r="98" spans="1:17" ht="12.75">
      <c r="A98" s="60" t="s">
        <v>58</v>
      </c>
      <c r="B98" s="50">
        <v>0</v>
      </c>
      <c r="C98" s="50">
        <v>0</v>
      </c>
      <c r="D98" s="50">
        <v>0</v>
      </c>
      <c r="E98" s="51">
        <v>1</v>
      </c>
      <c r="F98" s="50">
        <f>SUM(B98*C98*D98*E98)</f>
        <v>0</v>
      </c>
      <c r="G98" s="50">
        <v>0</v>
      </c>
      <c r="H98" s="50">
        <f>SUM(F98:G98)</f>
        <v>0</v>
      </c>
      <c r="K98" s="52">
        <v>0</v>
      </c>
      <c r="L98" s="33" t="str">
        <f>'Materiálové hodnoty'!B16</f>
        <v>Betónové šalovacie tvárnice (bez jadra)</v>
      </c>
      <c r="O98" s="34">
        <f>SUM($I$101*'Materiálové hodnoty'!$E16*'Materiálové hodnoty'!J16*$K98)</f>
        <v>0</v>
      </c>
      <c r="P98" s="34">
        <f>SUM($I$101*'Materiálové hodnoty'!$E16*'Materiálové hodnoty'!K16*$K98)</f>
        <v>0</v>
      </c>
      <c r="Q98" s="34">
        <f>SUM($I$101*'Materiálové hodnoty'!$E16*'Materiálové hodnoty'!L16*$K98)</f>
        <v>0</v>
      </c>
    </row>
    <row r="99" spans="1:11" ht="12.75">
      <c r="A99" s="60" t="s">
        <v>58</v>
      </c>
      <c r="B99" s="50">
        <v>0</v>
      </c>
      <c r="C99" s="50">
        <v>0</v>
      </c>
      <c r="D99" s="50">
        <v>0</v>
      </c>
      <c r="E99" s="51">
        <v>1</v>
      </c>
      <c r="F99" s="50">
        <f>SUM(B99*C99*D99*E99)</f>
        <v>0</v>
      </c>
      <c r="G99" s="50">
        <v>0</v>
      </c>
      <c r="H99" s="50">
        <f>SUM(F99:G99)</f>
        <v>0</v>
      </c>
      <c r="K99" s="52"/>
    </row>
    <row r="100" spans="1:12" ht="12.75">
      <c r="A100" s="59" t="s">
        <v>59</v>
      </c>
      <c r="B100" s="50">
        <v>0</v>
      </c>
      <c r="C100" s="50">
        <v>0</v>
      </c>
      <c r="D100" s="50">
        <v>0</v>
      </c>
      <c r="E100" s="53">
        <v>-1</v>
      </c>
      <c r="F100" s="50">
        <f>SUM(B100*C100*D100*E100)</f>
        <v>0</v>
      </c>
      <c r="G100" s="50">
        <v>0</v>
      </c>
      <c r="H100" s="50">
        <f>SUM(F100:G100)</f>
        <v>0</v>
      </c>
      <c r="K100" s="52"/>
      <c r="L100" s="62"/>
    </row>
    <row r="101" spans="1:17" ht="12.75">
      <c r="A101" s="59" t="s">
        <v>59</v>
      </c>
      <c r="B101" s="50">
        <v>0</v>
      </c>
      <c r="C101" s="50">
        <v>0</v>
      </c>
      <c r="D101" s="50">
        <v>0</v>
      </c>
      <c r="E101" s="53">
        <v>-1</v>
      </c>
      <c r="F101" s="50">
        <f>SUM(B101*C101*D101*E101)</f>
        <v>0</v>
      </c>
      <c r="G101" s="50">
        <v>0</v>
      </c>
      <c r="H101" s="50">
        <f>SUM(F101:G101)</f>
        <v>0</v>
      </c>
      <c r="I101" s="31">
        <f>SUM(H92:H101)</f>
        <v>9.45</v>
      </c>
      <c r="J101" s="32" t="s">
        <v>31</v>
      </c>
      <c r="K101" s="52">
        <v>0</v>
      </c>
      <c r="L101" s="33" t="str">
        <f>'Materiálové hodnoty'!$B$17</f>
        <v>Železobetón</v>
      </c>
      <c r="O101" s="34">
        <f>SUM(I101*'Materiálové hodnoty'!$E$17*'Materiálové hodnoty'!$J$17*$K101)</f>
        <v>0</v>
      </c>
      <c r="P101" s="34">
        <f>SUM(I101*'Materiálové hodnoty'!$E$17*'Materiálové hodnoty'!$K$17*$K101)</f>
        <v>0</v>
      </c>
      <c r="Q101" s="34">
        <f>SUM(I101*'Materiálové hodnoty'!$E$17*'Materiálové hodnoty'!$L$17*$K101)</f>
        <v>0</v>
      </c>
    </row>
    <row r="102" spans="1:17" ht="12.75">
      <c r="A102" s="59"/>
      <c r="B102" s="50"/>
      <c r="C102" s="50"/>
      <c r="D102" s="50"/>
      <c r="E102" s="53"/>
      <c r="F102" s="50"/>
      <c r="G102" s="50"/>
      <c r="H102" s="50"/>
      <c r="I102" s="31">
        <v>0.7</v>
      </c>
      <c r="J102" s="32" t="s">
        <v>41</v>
      </c>
      <c r="K102" s="52">
        <v>0</v>
      </c>
      <c r="L102" s="33" t="s">
        <v>42</v>
      </c>
      <c r="M102" s="55">
        <f>SUM(I101*I102/100*7800*K102)</f>
        <v>0</v>
      </c>
      <c r="N102" s="33" t="s">
        <v>43</v>
      </c>
      <c r="O102" s="34">
        <f>SUM('Materiálové hodnoty'!$E$18*'Materiálové hodnoty'!$J$18*$I101*$I102*0.01*$K102)</f>
        <v>0</v>
      </c>
      <c r="P102" s="34">
        <f>SUM('Materiálové hodnoty'!$E$18*'Materiálové hodnoty'!$K$18*$I101*$I102*0.01*$K102)</f>
        <v>0</v>
      </c>
      <c r="Q102" s="34">
        <f>SUM('Materiálové hodnoty'!$E$18*'Materiálové hodnoty'!$L$18*$I101*$I102*0.01*$K102)</f>
        <v>0</v>
      </c>
    </row>
    <row r="103" spans="1:17" ht="12.75">
      <c r="A103" s="59"/>
      <c r="B103" s="50"/>
      <c r="C103" s="50"/>
      <c r="D103" s="50"/>
      <c r="E103" s="53"/>
      <c r="F103" s="50"/>
      <c r="G103" s="50"/>
      <c r="H103" s="50"/>
      <c r="I103" s="31">
        <v>0</v>
      </c>
      <c r="J103" s="32" t="s">
        <v>43</v>
      </c>
      <c r="K103" s="52">
        <v>0</v>
      </c>
      <c r="L103" s="33" t="s">
        <v>42</v>
      </c>
      <c r="O103" s="34">
        <f>SUM($I103*'Materiálové hodnoty'!$J$18*$K103)</f>
        <v>0</v>
      </c>
      <c r="P103" s="34">
        <f>SUM($I103*'Materiálové hodnoty'!$K$18*$K103)</f>
        <v>0</v>
      </c>
      <c r="Q103" s="34">
        <f>SUM($I103*'Materiálové hodnoty'!$L$18*$K103)</f>
        <v>0</v>
      </c>
    </row>
    <row r="104" spans="11:12" ht="12.75">
      <c r="K104" s="32"/>
      <c r="L104" s="62"/>
    </row>
    <row r="105" spans="11:17" ht="12.75">
      <c r="K105" s="52">
        <v>0</v>
      </c>
      <c r="L105" s="62" t="str">
        <f>'VAR 1'!$L$76</f>
        <v>Tehla dierovaná</v>
      </c>
      <c r="O105" s="34">
        <f>SUM($I$101*'Materiálové hodnoty'!$E23*'Materiálové hodnoty'!J23*$K105)</f>
        <v>0</v>
      </c>
      <c r="P105" s="34">
        <f>SUM($I$101*'Materiálové hodnoty'!$E23*'Materiálové hodnoty'!K23*$K105)</f>
        <v>0</v>
      </c>
      <c r="Q105" s="34">
        <f>SUM($I$101*'Materiálové hodnoty'!$E23*'Materiálové hodnoty'!L23*$K105)</f>
        <v>0</v>
      </c>
    </row>
    <row r="106" spans="11:17" ht="12.75">
      <c r="K106" s="52">
        <v>0</v>
      </c>
      <c r="L106" s="62" t="str">
        <f>'VAR 1'!$L$77</f>
        <v>Hlina masívna</v>
      </c>
      <c r="O106" s="34">
        <f>SUM($I$101*'Materiálové hodnoty'!$E24*'Materiálové hodnoty'!J24*$K106)</f>
        <v>0</v>
      </c>
      <c r="P106" s="34">
        <f>SUM($I$101*'Materiálové hodnoty'!$E24*'Materiálové hodnoty'!K24*$K106)</f>
        <v>0</v>
      </c>
      <c r="Q106" s="34">
        <f>SUM($I$101*'Materiálové hodnoty'!$E24*'Materiálové hodnoty'!L24*$K106)</f>
        <v>0</v>
      </c>
    </row>
    <row r="107" spans="11:17" ht="12.75">
      <c r="K107" s="52">
        <v>0</v>
      </c>
      <c r="L107" s="62" t="str">
        <f>'VAR 1'!$L$78</f>
        <v>Plynosilikát (Pórobetón)</v>
      </c>
      <c r="O107" s="34">
        <f>SUM($I$101*'Materiálové hodnoty'!$E25*'Materiálové hodnoty'!J25*$K107)</f>
        <v>0</v>
      </c>
      <c r="P107" s="34">
        <f>SUM($I$101*'Materiálové hodnoty'!$E25*'Materiálové hodnoty'!K25*$K107)</f>
        <v>0</v>
      </c>
      <c r="Q107" s="34">
        <f>SUM($I$101*'Materiálové hodnoty'!$E25*'Materiálové hodnoty'!L25*$K107)</f>
        <v>0</v>
      </c>
    </row>
    <row r="108" spans="11:17" ht="12.75">
      <c r="K108" s="52">
        <v>0</v>
      </c>
      <c r="L108" s="62" t="str">
        <f>'VAR 1'!$L$79</f>
        <v>Vápennopieskové tehly</v>
      </c>
      <c r="O108" s="34">
        <f>SUM($I$101*'Materiálové hodnoty'!$E26*'Materiálové hodnoty'!J26*$K108)</f>
        <v>0</v>
      </c>
      <c r="P108" s="34">
        <f>SUM($I$101*'Materiálové hodnoty'!$E26*'Materiálové hodnoty'!K26*$K108)</f>
        <v>0</v>
      </c>
      <c r="Q108" s="34">
        <f>SUM($I$101*'Materiálové hodnoty'!$E26*'Materiálové hodnoty'!L26*$K108)</f>
        <v>0</v>
      </c>
    </row>
    <row r="111" spans="1:17" ht="15">
      <c r="A111" s="42" t="s">
        <v>64</v>
      </c>
      <c r="B111" s="43"/>
      <c r="C111" s="43"/>
      <c r="D111" s="43"/>
      <c r="E111" s="44"/>
      <c r="F111" s="43"/>
      <c r="G111" s="43"/>
      <c r="H111" s="43"/>
      <c r="I111" s="42"/>
      <c r="J111" s="42"/>
      <c r="K111" s="42"/>
      <c r="L111" s="45"/>
      <c r="M111" s="45"/>
      <c r="N111" s="45"/>
      <c r="O111" s="46">
        <f>SUM(O113:O131)</f>
        <v>37734.69672000001</v>
      </c>
      <c r="P111" s="46">
        <f>SUM(P113:P131)</f>
        <v>-5597.960382000001</v>
      </c>
      <c r="Q111" s="46">
        <f>SUM(Q113:Q131)</f>
        <v>16.306772580000004</v>
      </c>
    </row>
    <row r="113" spans="1:11" ht="12.75">
      <c r="A113" t="s">
        <v>65</v>
      </c>
      <c r="B113" s="47" t="s">
        <v>23</v>
      </c>
      <c r="C113" s="47" t="s">
        <v>24</v>
      </c>
      <c r="D113" s="47" t="s">
        <v>48</v>
      </c>
      <c r="E113" s="30" t="s">
        <v>26</v>
      </c>
      <c r="F113" s="47" t="s">
        <v>27</v>
      </c>
      <c r="G113" s="47" t="s">
        <v>28</v>
      </c>
      <c r="H113" s="47" t="s">
        <v>29</v>
      </c>
      <c r="I113" s="48" t="s">
        <v>30</v>
      </c>
      <c r="J113" s="49"/>
      <c r="K113" s="48"/>
    </row>
    <row r="114" spans="2:8" ht="12.75">
      <c r="B114" s="50">
        <v>0</v>
      </c>
      <c r="C114" s="50">
        <v>0</v>
      </c>
      <c r="D114" s="50">
        <v>0</v>
      </c>
      <c r="E114" s="51">
        <v>1</v>
      </c>
      <c r="F114" s="50">
        <f>SUM(B114*C114*D114*E114)</f>
        <v>0</v>
      </c>
      <c r="G114" s="50">
        <v>0</v>
      </c>
      <c r="H114" s="50">
        <f>SUM(F114:G114)</f>
        <v>0</v>
      </c>
    </row>
    <row r="115" spans="2:8" ht="12.75">
      <c r="B115" s="50">
        <v>0</v>
      </c>
      <c r="C115" s="50">
        <v>0</v>
      </c>
      <c r="D115" s="50">
        <v>0</v>
      </c>
      <c r="E115" s="51">
        <v>1</v>
      </c>
      <c r="F115" s="50">
        <f>SUM(B115*C115*D115*E115)</f>
        <v>0</v>
      </c>
      <c r="G115" s="50">
        <v>0</v>
      </c>
      <c r="H115" s="50">
        <f>SUM(F115:G115)</f>
        <v>0</v>
      </c>
    </row>
    <row r="116" spans="2:17" ht="12.75">
      <c r="B116" s="50">
        <v>0</v>
      </c>
      <c r="C116" s="50">
        <v>0</v>
      </c>
      <c r="D116" s="50">
        <v>0</v>
      </c>
      <c r="E116" s="51">
        <v>1</v>
      </c>
      <c r="F116" s="50">
        <f>SUM(B116*C116*D116*E116)</f>
        <v>0</v>
      </c>
      <c r="G116" s="50">
        <v>0</v>
      </c>
      <c r="H116" s="50">
        <f>SUM(F116:G116)</f>
        <v>0</v>
      </c>
      <c r="I116" s="31">
        <f>SUM(H114:H116)</f>
        <v>0</v>
      </c>
      <c r="J116" s="32" t="s">
        <v>31</v>
      </c>
      <c r="K116" s="52">
        <v>0</v>
      </c>
      <c r="L116" s="33" t="str">
        <f>('Materiálové hodnoty'!B17)</f>
        <v>Železobetón</v>
      </c>
      <c r="O116" s="34">
        <f>SUM($I$116*'Materiálové hodnoty'!$E$17*'Materiálové hodnoty'!J17*$K$116)</f>
        <v>0</v>
      </c>
      <c r="P116" s="34">
        <f>SUM($I$116*'Materiálové hodnoty'!$E$17*'Materiálové hodnoty'!K17*$K$116)</f>
        <v>0</v>
      </c>
      <c r="Q116" s="34">
        <f>SUM($I$116*'Materiálové hodnoty'!$E$17*'Materiálové hodnoty'!L17*$K$116)</f>
        <v>0</v>
      </c>
    </row>
    <row r="117" spans="9:17" ht="12.75">
      <c r="I117" s="52">
        <v>0.9</v>
      </c>
      <c r="J117" s="32" t="s">
        <v>41</v>
      </c>
      <c r="K117" s="52">
        <v>0</v>
      </c>
      <c r="L117" s="33" t="s">
        <v>42</v>
      </c>
      <c r="M117" s="55">
        <f>SUM(I116*I117/100*7800*K117)</f>
        <v>0</v>
      </c>
      <c r="N117" s="33" t="s">
        <v>43</v>
      </c>
      <c r="O117" s="34">
        <f>SUM('Materiálové hodnoty'!$E$18*'Materiálové hodnoty'!J18*$I$116*$I$117*0.01*$K$117)</f>
        <v>0</v>
      </c>
      <c r="P117" s="34">
        <f>SUM('Materiálové hodnoty'!$E$18*'Materiálové hodnoty'!K18*$I$116*$I$117*0.01*$K$117)</f>
        <v>0</v>
      </c>
      <c r="Q117" s="34">
        <f>SUM('Materiálové hodnoty'!$E$18*'Materiálové hodnoty'!L18*$I$116*$I$117*0.01*$K$117)</f>
        <v>0</v>
      </c>
    </row>
    <row r="118" spans="9:17" ht="12.75">
      <c r="I118" s="52">
        <v>0</v>
      </c>
      <c r="J118" s="32" t="s">
        <v>43</v>
      </c>
      <c r="K118" s="52">
        <v>0</v>
      </c>
      <c r="L118" s="33" t="s">
        <v>42</v>
      </c>
      <c r="O118" s="34">
        <f>SUM($I$118*'Materiálové hodnoty'!J18)</f>
        <v>0</v>
      </c>
      <c r="P118" s="34">
        <f>SUM($I$118*'Materiálové hodnoty'!K18)</f>
        <v>0</v>
      </c>
      <c r="Q118" s="34">
        <f>SUM($I$118*'Materiálové hodnoty'!L18)</f>
        <v>0</v>
      </c>
    </row>
    <row r="119" spans="5:17" s="18" customFormat="1" ht="12.75">
      <c r="E119" s="53"/>
      <c r="I119" s="32"/>
      <c r="J119" s="32"/>
      <c r="K119" s="32"/>
      <c r="L119" s="56"/>
      <c r="M119" s="56"/>
      <c r="N119" s="56"/>
      <c r="O119" s="57"/>
      <c r="P119" s="57"/>
      <c r="Q119" s="57"/>
    </row>
    <row r="120" spans="2:8" ht="12.75">
      <c r="B120" s="18"/>
      <c r="C120" s="18"/>
      <c r="D120" s="18"/>
      <c r="E120" s="53"/>
      <c r="F120" s="18"/>
      <c r="G120" s="18"/>
      <c r="H120" s="18"/>
    </row>
    <row r="121" spans="1:11" ht="12.75">
      <c r="A121" t="s">
        <v>66</v>
      </c>
      <c r="B121" s="47" t="s">
        <v>23</v>
      </c>
      <c r="C121" s="47" t="s">
        <v>24</v>
      </c>
      <c r="D121" s="47" t="s">
        <v>25</v>
      </c>
      <c r="E121" s="30" t="s">
        <v>26</v>
      </c>
      <c r="F121" s="47" t="s">
        <v>27</v>
      </c>
      <c r="G121" s="47" t="s">
        <v>28</v>
      </c>
      <c r="H121" s="47" t="s">
        <v>29</v>
      </c>
      <c r="I121" s="48" t="s">
        <v>30</v>
      </c>
      <c r="J121" s="49"/>
      <c r="K121" s="48"/>
    </row>
    <row r="122" spans="2:11" ht="12.75">
      <c r="B122" s="50">
        <v>91.7</v>
      </c>
      <c r="C122" s="50">
        <v>1</v>
      </c>
      <c r="D122" s="50">
        <v>0.108</v>
      </c>
      <c r="E122" s="51">
        <v>1</v>
      </c>
      <c r="F122" s="50">
        <f>SUM(B122*C122*D122*E122)</f>
        <v>9.9036</v>
      </c>
      <c r="G122" s="50">
        <v>0</v>
      </c>
      <c r="H122" s="50">
        <f>SUM(F122:G122)</f>
        <v>9.9036</v>
      </c>
      <c r="I122" s="48"/>
      <c r="J122" s="49"/>
      <c r="K122" s="48"/>
    </row>
    <row r="123" spans="2:17" ht="12.75">
      <c r="B123" s="50">
        <v>0</v>
      </c>
      <c r="C123" s="50">
        <v>0</v>
      </c>
      <c r="D123" s="50">
        <v>0</v>
      </c>
      <c r="E123" s="51">
        <v>0</v>
      </c>
      <c r="F123" s="50">
        <f>SUM(B123*C123*D123*E123)</f>
        <v>0</v>
      </c>
      <c r="G123" s="50">
        <v>0</v>
      </c>
      <c r="H123" s="50">
        <f>SUM(F123:G123)</f>
        <v>0</v>
      </c>
      <c r="K123" s="52">
        <v>0</v>
      </c>
      <c r="L123" s="33" t="str">
        <f>('Materiálové hodnoty'!B10)</f>
        <v>Stavebné drevo sušené na vzduchu</v>
      </c>
      <c r="O123" s="34">
        <f>SUM($I$125*'Materiálové hodnoty'!$E10*'Materiálové hodnoty'!J10*$K123)</f>
        <v>0</v>
      </c>
      <c r="P123" s="34">
        <f>SUM($I$125*'Materiálové hodnoty'!$E10*'Materiálové hodnoty'!K10*$K123)</f>
        <v>0</v>
      </c>
      <c r="Q123" s="34">
        <f>SUM($I$125*'Materiálové hodnoty'!$E10*'Materiálové hodnoty'!L10*$K123)</f>
        <v>0</v>
      </c>
    </row>
    <row r="124" spans="2:17" ht="12.75">
      <c r="B124" s="50">
        <v>0</v>
      </c>
      <c r="C124" s="50">
        <v>0</v>
      </c>
      <c r="D124" s="50">
        <v>0</v>
      </c>
      <c r="E124" s="51">
        <v>0</v>
      </c>
      <c r="F124" s="50">
        <f>SUM(B124*C124*D124*E124)</f>
        <v>0</v>
      </c>
      <c r="G124" s="50">
        <v>0</v>
      </c>
      <c r="H124" s="50">
        <f>SUM(F124:G124)</f>
        <v>0</v>
      </c>
      <c r="K124" s="52">
        <v>0</v>
      </c>
      <c r="L124" s="33" t="str">
        <f>('Materiálové hodnoty'!B11)</f>
        <v>Stavebné drevo technicky sušené</v>
      </c>
      <c r="O124" s="34">
        <f>SUM($I$125*'Materiálové hodnoty'!$E11*'Materiálové hodnoty'!J11*$K124)</f>
        <v>0</v>
      </c>
      <c r="P124" s="34">
        <f>SUM($I$125*'Materiálové hodnoty'!$E11*'Materiálové hodnoty'!K11*$K124)</f>
        <v>0</v>
      </c>
      <c r="Q124" s="34">
        <f>SUM($I$125*'Materiálové hodnoty'!$E11*'Materiálové hodnoty'!L11*$K124)</f>
        <v>0</v>
      </c>
    </row>
    <row r="125" spans="2:17" ht="12.75">
      <c r="B125" s="50">
        <v>0</v>
      </c>
      <c r="C125" s="50">
        <v>0</v>
      </c>
      <c r="D125" s="50">
        <v>0</v>
      </c>
      <c r="E125" s="51">
        <v>0</v>
      </c>
      <c r="F125" s="50">
        <f>SUM(B125*C125*D125*E125)</f>
        <v>0</v>
      </c>
      <c r="G125" s="50">
        <v>0</v>
      </c>
      <c r="H125" s="50">
        <f>SUM(F125:G125)</f>
        <v>0</v>
      </c>
      <c r="I125" s="31">
        <f>SUM(H122:H125)</f>
        <v>9.9036</v>
      </c>
      <c r="J125" s="32" t="s">
        <v>31</v>
      </c>
      <c r="K125" s="52">
        <v>1</v>
      </c>
      <c r="L125" s="33" t="str">
        <f>('Materiálové hodnoty'!B12)</f>
        <v>Lepené drevené hranoly</v>
      </c>
      <c r="O125" s="34">
        <f>SUM($I$125*'Materiálové hodnoty'!$E12*'Materiálové hodnoty'!J12*$K125)</f>
        <v>36229.34952</v>
      </c>
      <c r="P125" s="34">
        <f>SUM($I$125*'Materiálové hodnoty'!$E12*'Materiálové hodnoty'!K12*$K125)</f>
        <v>-5673.227742000001</v>
      </c>
      <c r="Q125" s="34">
        <f>SUM($I$125*'Materiálové hodnoty'!$E12*'Materiálové hodnoty'!L12*$K125)</f>
        <v>15.365930580000004</v>
      </c>
    </row>
    <row r="126" spans="2:8" ht="12.75">
      <c r="B126" s="18"/>
      <c r="C126" s="18"/>
      <c r="D126" s="18"/>
      <c r="E126" s="53"/>
      <c r="F126" s="18"/>
      <c r="G126" s="18"/>
      <c r="H126" s="18"/>
    </row>
    <row r="127" spans="1:11" ht="12.75">
      <c r="A127" t="s">
        <v>58</v>
      </c>
      <c r="B127" s="47" t="s">
        <v>23</v>
      </c>
      <c r="C127" s="47" t="s">
        <v>24</v>
      </c>
      <c r="D127" s="47" t="s">
        <v>48</v>
      </c>
      <c r="E127" s="30" t="s">
        <v>26</v>
      </c>
      <c r="F127" s="47" t="s">
        <v>27</v>
      </c>
      <c r="G127" s="47" t="s">
        <v>28</v>
      </c>
      <c r="H127" s="47" t="s">
        <v>29</v>
      </c>
      <c r="I127" s="48" t="s">
        <v>30</v>
      </c>
      <c r="J127" s="49"/>
      <c r="K127" s="48"/>
    </row>
    <row r="128" spans="2:17" ht="12.75">
      <c r="B128" s="50">
        <v>91.7</v>
      </c>
      <c r="C128" s="50">
        <v>1</v>
      </c>
      <c r="D128" s="50">
        <v>0.114</v>
      </c>
      <c r="E128" s="51">
        <v>1</v>
      </c>
      <c r="F128" s="50">
        <f>SUM(B128*C128*D128*E128)</f>
        <v>10.453800000000001</v>
      </c>
      <c r="G128" s="50">
        <v>0</v>
      </c>
      <c r="H128" s="50">
        <f>SUM(F128:G128)</f>
        <v>10.453800000000001</v>
      </c>
      <c r="K128" s="52">
        <v>0</v>
      </c>
      <c r="L128" s="33" t="str">
        <f>'Materiálové hodnoty'!B23</f>
        <v>Tehla dierovaná</v>
      </c>
      <c r="O128" s="34">
        <f>SUM($I$130*'Materiálové hodnoty'!$E23*'Materiálové hodnoty'!J23*$K$128:K128)</f>
        <v>0</v>
      </c>
      <c r="P128" s="34">
        <f>SUM($I$130*'Materiálové hodnoty'!$E23*'Materiálové hodnoty'!K23*$K$128:K128)</f>
        <v>0</v>
      </c>
      <c r="Q128" s="34">
        <f>SUM($I$130*'Materiálové hodnoty'!$E23*'Materiálové hodnoty'!L23*$K$128:K128)</f>
        <v>0</v>
      </c>
    </row>
    <row r="129" spans="2:17" ht="12.75">
      <c r="B129" s="50">
        <v>0</v>
      </c>
      <c r="C129" s="50">
        <v>0</v>
      </c>
      <c r="D129" s="50">
        <v>0</v>
      </c>
      <c r="E129" s="51">
        <v>1</v>
      </c>
      <c r="F129" s="50">
        <f>SUM(B129*C129*D129*E129)</f>
        <v>0</v>
      </c>
      <c r="G129" s="50">
        <v>0</v>
      </c>
      <c r="H129" s="50">
        <f>SUM(F129:G129)</f>
        <v>0</v>
      </c>
      <c r="K129" s="52">
        <v>0</v>
      </c>
      <c r="L129" s="33" t="str">
        <f>'Materiálové hodnoty'!B24</f>
        <v>Hlina masívna</v>
      </c>
      <c r="O129" s="34">
        <f>SUM($I$130*'Materiálové hodnoty'!$E$24*'Materiálové hodnoty'!J24*$K$129)</f>
        <v>0</v>
      </c>
      <c r="P129" s="34">
        <f>SUM($I$130*'Materiálové hodnoty'!$E$24*'Materiálové hodnoty'!K24*$K$129)</f>
        <v>0</v>
      </c>
      <c r="Q129" s="34">
        <f>SUM($I$130*'Materiálové hodnoty'!$E$24*'Materiálové hodnoty'!L24*$K$129)</f>
        <v>0</v>
      </c>
    </row>
    <row r="130" spans="2:17" ht="12.75">
      <c r="B130" s="50">
        <v>0</v>
      </c>
      <c r="C130" s="50">
        <v>0</v>
      </c>
      <c r="D130" s="50">
        <v>0</v>
      </c>
      <c r="E130" s="51">
        <v>1</v>
      </c>
      <c r="F130" s="50">
        <f>SUM(B130*C130*D130*E130)</f>
        <v>0</v>
      </c>
      <c r="G130" s="50">
        <v>0</v>
      </c>
      <c r="H130" s="50">
        <f>SUM(F130:G130)</f>
        <v>0</v>
      </c>
      <c r="I130" s="31">
        <f>SUM(H128:H130)</f>
        <v>10.453800000000001</v>
      </c>
      <c r="J130" s="32" t="s">
        <v>31</v>
      </c>
      <c r="K130" s="52">
        <v>1</v>
      </c>
      <c r="L130" s="33" t="str">
        <f>('Materiálové hodnoty'!B5)</f>
        <v>Štrk</v>
      </c>
      <c r="O130" s="34">
        <f>SUM($I$130*'Materiálové hodnoty'!$E$5*'Materiálové hodnoty'!J5*$K$130)</f>
        <v>1505.3472000000004</v>
      </c>
      <c r="P130" s="34">
        <f>SUM($I$130*'Materiálové hodnoty'!$E$5*'Materiálové hodnoty'!K5*$K$130)</f>
        <v>75.26736000000001</v>
      </c>
      <c r="Q130" s="34">
        <f>SUM($I$130*'Materiálové hodnoty'!$E$5*'Materiálové hodnoty'!L5*$K$130)</f>
        <v>0.9408420000000003</v>
      </c>
    </row>
    <row r="132" spans="1:16" ht="12.75">
      <c r="A132" s="18"/>
      <c r="B132" s="63"/>
      <c r="C132" s="63"/>
      <c r="D132" s="63"/>
      <c r="E132" s="53"/>
      <c r="F132" s="63"/>
      <c r="G132" s="63"/>
      <c r="H132" s="63"/>
      <c r="I132" s="49"/>
      <c r="J132" s="49"/>
      <c r="K132" s="49"/>
      <c r="L132" s="56"/>
      <c r="M132" s="56"/>
      <c r="N132" s="56"/>
      <c r="O132" s="57"/>
      <c r="P132" s="57"/>
    </row>
    <row r="133" spans="1:17" ht="15">
      <c r="A133" s="42" t="s">
        <v>67</v>
      </c>
      <c r="B133" s="43"/>
      <c r="C133" s="43"/>
      <c r="D133" s="43"/>
      <c r="E133" s="44"/>
      <c r="F133" s="43"/>
      <c r="G133" s="43"/>
      <c r="H133" s="43"/>
      <c r="I133" s="42"/>
      <c r="J133" s="42"/>
      <c r="K133" s="42"/>
      <c r="L133" s="45"/>
      <c r="M133" s="45"/>
      <c r="N133" s="45"/>
      <c r="O133" s="46">
        <f>SUM(O135:O180)</f>
        <v>61214.04656105262</v>
      </c>
      <c r="P133" s="46">
        <f>SUM(P135:P180)</f>
        <v>-5672.160168526316</v>
      </c>
      <c r="Q133" s="46">
        <f>SUM(Q135:Q180)</f>
        <v>23.407018605263158</v>
      </c>
    </row>
    <row r="134" spans="1:16" ht="12.75">
      <c r="A134" s="18"/>
      <c r="B134" s="18"/>
      <c r="C134" s="18"/>
      <c r="D134" s="18"/>
      <c r="E134" s="53"/>
      <c r="F134" s="18"/>
      <c r="G134" s="18"/>
      <c r="H134" s="18"/>
      <c r="I134" s="32"/>
      <c r="K134" s="32"/>
      <c r="L134" s="56"/>
      <c r="M134" s="56"/>
      <c r="N134" s="56"/>
      <c r="O134" s="57"/>
      <c r="P134" s="57"/>
    </row>
    <row r="135" spans="1:11" ht="12.75">
      <c r="A135" t="s">
        <v>66</v>
      </c>
      <c r="B135" s="47" t="s">
        <v>23</v>
      </c>
      <c r="C135" s="47" t="s">
        <v>24</v>
      </c>
      <c r="D135" s="47" t="s">
        <v>25</v>
      </c>
      <c r="E135" s="30" t="s">
        <v>26</v>
      </c>
      <c r="F135" s="47" t="s">
        <v>27</v>
      </c>
      <c r="G135" s="47" t="s">
        <v>28</v>
      </c>
      <c r="H135" s="47" t="s">
        <v>29</v>
      </c>
      <c r="I135" s="48" t="s">
        <v>30</v>
      </c>
      <c r="J135" s="49"/>
      <c r="K135" s="48"/>
    </row>
    <row r="136" spans="1:11" ht="12.75">
      <c r="A136" s="58" t="s">
        <v>68</v>
      </c>
      <c r="B136" s="50">
        <v>82.8</v>
      </c>
      <c r="C136" s="50">
        <v>1</v>
      </c>
      <c r="D136" s="50">
        <v>0.09</v>
      </c>
      <c r="E136" s="51">
        <v>1</v>
      </c>
      <c r="F136" s="50">
        <f>SUM(B136*C136*D136*E136)</f>
        <v>7.451999999999999</v>
      </c>
      <c r="G136" s="50">
        <v>0</v>
      </c>
      <c r="H136" s="50">
        <f>SUM(F136:G136)</f>
        <v>7.451999999999999</v>
      </c>
      <c r="I136" s="48"/>
      <c r="J136" s="49"/>
      <c r="K136" s="48"/>
    </row>
    <row r="137" spans="1:17" ht="12.75">
      <c r="A137" s="58" t="s">
        <v>69</v>
      </c>
      <c r="B137" s="50">
        <v>0</v>
      </c>
      <c r="C137" s="50">
        <v>0</v>
      </c>
      <c r="D137" s="50">
        <v>0</v>
      </c>
      <c r="E137" s="51">
        <v>1</v>
      </c>
      <c r="F137" s="50">
        <f>SUM(B137*C137*D137*E137)</f>
        <v>0</v>
      </c>
      <c r="G137" s="50">
        <v>0.29</v>
      </c>
      <c r="H137" s="50">
        <f>SUM(F137:G137)</f>
        <v>0.29</v>
      </c>
      <c r="K137" s="52">
        <f>SUM(H138/I139)</f>
        <v>0.04912797838368952</v>
      </c>
      <c r="L137" s="33" t="str">
        <f>('Materiálové hodnoty'!B10)</f>
        <v>Stavebné drevo sušené na vzduchu</v>
      </c>
      <c r="O137" s="34">
        <f>SUM($I$139*'Materiálové hodnoty'!$E10*'Materiálové hodnoty'!J10*$K137)</f>
        <v>408.24</v>
      </c>
      <c r="P137" s="34">
        <f>SUM($I$139*'Materiálové hodnoty'!$E10*'Materiálové hodnoty'!K10*$K137)</f>
        <v>-304.344</v>
      </c>
      <c r="Q137" s="34">
        <f>SUM($I$139*'Materiálové hodnoty'!$E10*'Materiálové hodnoty'!L10*$K137)</f>
        <v>0.26784</v>
      </c>
    </row>
    <row r="138" spans="1:17" ht="12.75">
      <c r="A138" s="58" t="s">
        <v>70</v>
      </c>
      <c r="B138" s="50">
        <v>0</v>
      </c>
      <c r="C138" s="50">
        <v>0</v>
      </c>
      <c r="D138" s="50">
        <v>0</v>
      </c>
      <c r="E138" s="51">
        <v>1</v>
      </c>
      <c r="F138" s="50">
        <f>SUM(B138*C138*D138*E138)</f>
        <v>0</v>
      </c>
      <c r="G138" s="50">
        <v>0.4</v>
      </c>
      <c r="H138" s="50">
        <f>SUM(F138:G138)</f>
        <v>0.4</v>
      </c>
      <c r="K138" s="52">
        <v>0</v>
      </c>
      <c r="L138" s="33" t="str">
        <f>('Materiálové hodnoty'!B11)</f>
        <v>Stavebné drevo technicky sušené</v>
      </c>
      <c r="O138" s="34">
        <f>SUM($I$139*'Materiálové hodnoty'!$E11*'Materiálové hodnoty'!J11*$K138)</f>
        <v>0</v>
      </c>
      <c r="P138" s="34">
        <f>SUM($I$139*'Materiálové hodnoty'!$E11*'Materiálové hodnoty'!K11*$K138)</f>
        <v>0</v>
      </c>
      <c r="Q138" s="34">
        <f>SUM($I$139*'Materiálové hodnoty'!$E11*'Materiálové hodnoty'!L11*$K138)</f>
        <v>0</v>
      </c>
    </row>
    <row r="139" spans="2:17" ht="12.75">
      <c r="B139" s="50">
        <v>0</v>
      </c>
      <c r="C139" s="50">
        <v>0</v>
      </c>
      <c r="D139" s="50">
        <v>0</v>
      </c>
      <c r="E139" s="51">
        <v>1</v>
      </c>
      <c r="F139" s="50">
        <f>SUM(B139*C139*D139*E139)</f>
        <v>0</v>
      </c>
      <c r="G139" s="50">
        <v>0</v>
      </c>
      <c r="H139" s="50">
        <f>SUM(F139:G139)</f>
        <v>0</v>
      </c>
      <c r="I139" s="31">
        <f>SUM(H136:H139)</f>
        <v>8.142</v>
      </c>
      <c r="J139" s="32" t="s">
        <v>31</v>
      </c>
      <c r="K139" s="52">
        <f>SUM(H136:H137)/I139</f>
        <v>0.9508720216163105</v>
      </c>
      <c r="L139" s="33" t="str">
        <f>('Materiálové hodnoty'!B12)</f>
        <v>Lepené drevené hranoly</v>
      </c>
      <c r="O139" s="34">
        <f>SUM($I$139*'Materiálové hodnoty'!$E12*'Materiálové hodnoty'!J12*$K139)</f>
        <v>28321.784399999993</v>
      </c>
      <c r="P139" s="34">
        <f>SUM($I$139*'Materiálové hodnoty'!$E12*'Materiálové hodnoty'!K12*$K139)</f>
        <v>-4434.96599</v>
      </c>
      <c r="Q139" s="34">
        <f>SUM($I$139*'Materiálové hodnoty'!$E12*'Materiálové hodnoty'!L12*$K139)</f>
        <v>12.0121001</v>
      </c>
    </row>
    <row r="140" spans="5:17" s="18" customFormat="1" ht="12.75">
      <c r="E140" s="53"/>
      <c r="I140" s="32"/>
      <c r="J140" s="32"/>
      <c r="K140" s="32"/>
      <c r="L140" s="56"/>
      <c r="M140" s="56"/>
      <c r="N140" s="56"/>
      <c r="O140" s="57"/>
      <c r="P140" s="57"/>
      <c r="Q140" s="57"/>
    </row>
    <row r="141" spans="1:11" ht="12.75">
      <c r="A141" t="s">
        <v>71</v>
      </c>
      <c r="B141" s="47" t="s">
        <v>23</v>
      </c>
      <c r="C141" s="47" t="s">
        <v>24</v>
      </c>
      <c r="D141" s="47" t="s">
        <v>48</v>
      </c>
      <c r="E141" s="30" t="s">
        <v>26</v>
      </c>
      <c r="F141" s="47" t="s">
        <v>27</v>
      </c>
      <c r="G141" s="47" t="s">
        <v>28</v>
      </c>
      <c r="H141" s="47" t="s">
        <v>29</v>
      </c>
      <c r="I141" s="48" t="s">
        <v>30</v>
      </c>
      <c r="J141" s="49"/>
      <c r="K141" s="48"/>
    </row>
    <row r="142" spans="2:8" ht="12.75">
      <c r="B142" s="50">
        <v>0</v>
      </c>
      <c r="C142" s="50">
        <v>0</v>
      </c>
      <c r="D142" s="50">
        <v>0</v>
      </c>
      <c r="E142" s="51">
        <v>1</v>
      </c>
      <c r="F142" s="50">
        <f>SUM(B142*C142*D142*E142)</f>
        <v>0</v>
      </c>
      <c r="G142" s="50">
        <v>0</v>
      </c>
      <c r="H142" s="50">
        <f>SUM(F142:G142)</f>
        <v>0</v>
      </c>
    </row>
    <row r="143" spans="2:8" ht="12.75">
      <c r="B143" s="50">
        <v>0</v>
      </c>
      <c r="C143" s="50">
        <v>0</v>
      </c>
      <c r="D143" s="50">
        <v>0</v>
      </c>
      <c r="E143" s="51">
        <v>1</v>
      </c>
      <c r="F143" s="50">
        <f>SUM(B143*C143*D143*E143)</f>
        <v>0</v>
      </c>
      <c r="G143" s="50">
        <v>0</v>
      </c>
      <c r="H143" s="50">
        <f>SUM(F143:G143)</f>
        <v>0</v>
      </c>
    </row>
    <row r="144" spans="2:17" ht="12.75">
      <c r="B144" s="50">
        <v>0</v>
      </c>
      <c r="C144" s="50">
        <v>0</v>
      </c>
      <c r="D144" s="50">
        <v>0</v>
      </c>
      <c r="E144" s="51">
        <v>1</v>
      </c>
      <c r="F144" s="50">
        <f>SUM(B144*C144*D144*E144)</f>
        <v>0</v>
      </c>
      <c r="G144" s="50">
        <v>0</v>
      </c>
      <c r="H144" s="50">
        <f>SUM(F144:G144)</f>
        <v>0</v>
      </c>
      <c r="I144" s="31">
        <f>SUM(H142:H144)</f>
        <v>0</v>
      </c>
      <c r="J144" s="32" t="s">
        <v>31</v>
      </c>
      <c r="K144" s="52">
        <v>1</v>
      </c>
      <c r="L144" s="33" t="str">
        <f>('Materiálové hodnoty'!B17)</f>
        <v>Železobetón</v>
      </c>
      <c r="O144" s="34">
        <f>SUM($I$144*'Materiálové hodnoty'!$E$17*'Materiálové hodnoty'!J17*$K$144)</f>
        <v>0</v>
      </c>
      <c r="P144" s="34">
        <f>SUM($I$144*'Materiálové hodnoty'!$E$17*'Materiálové hodnoty'!K17*$K$144)</f>
        <v>0</v>
      </c>
      <c r="Q144" s="34">
        <f>SUM($I$144*'Materiálové hodnoty'!$E$17*'Materiálové hodnoty'!L17*$K$144)</f>
        <v>0</v>
      </c>
    </row>
    <row r="145" spans="9:17" ht="12.75">
      <c r="I145" s="52">
        <v>0.9</v>
      </c>
      <c r="J145" s="32" t="s">
        <v>41</v>
      </c>
      <c r="K145" s="52">
        <v>1</v>
      </c>
      <c r="L145" s="33" t="s">
        <v>42</v>
      </c>
      <c r="M145" s="55">
        <f>SUM(I144*I145/100*7800*K145)</f>
        <v>0</v>
      </c>
      <c r="N145" s="33" t="s">
        <v>43</v>
      </c>
      <c r="O145" s="34">
        <f>SUM('Materiálové hodnoty'!$E$18*'Materiálové hodnoty'!J18*$I$144*$I$145*0.01*$K$144)</f>
        <v>0</v>
      </c>
      <c r="P145" s="34">
        <f>SUM('Materiálové hodnoty'!$E$18*'Materiálové hodnoty'!K18*$I$144*$I$145*0.01*$K$144)</f>
        <v>0</v>
      </c>
      <c r="Q145" s="34">
        <f>SUM('Materiálové hodnoty'!$E$18*'Materiálové hodnoty'!L18*$I$144*$I$145*0.01*$K$144)</f>
        <v>0</v>
      </c>
    </row>
    <row r="146" spans="9:17" ht="12.75">
      <c r="I146" s="52">
        <v>0</v>
      </c>
      <c r="J146" s="32" t="s">
        <v>43</v>
      </c>
      <c r="K146" s="52">
        <v>0</v>
      </c>
      <c r="L146" s="33" t="s">
        <v>42</v>
      </c>
      <c r="O146" s="34">
        <f>SUM($I$146*$K$146*'Materiálové hodnoty'!J18)</f>
        <v>0</v>
      </c>
      <c r="P146" s="34">
        <f>SUM($I$146*$K$146*'Materiálové hodnoty'!K18)</f>
        <v>0</v>
      </c>
      <c r="Q146" s="34">
        <f>SUM($I$146*$K$146*'Materiálové hodnoty'!L18)</f>
        <v>0</v>
      </c>
    </row>
    <row r="147" spans="1:16" ht="12.75">
      <c r="A147" s="18"/>
      <c r="B147" s="18"/>
      <c r="C147" s="18"/>
      <c r="D147" s="18"/>
      <c r="E147" s="53"/>
      <c r="F147" s="18"/>
      <c r="G147" s="18"/>
      <c r="H147" s="18"/>
      <c r="I147" s="32"/>
      <c r="K147" s="32"/>
      <c r="L147" s="56"/>
      <c r="M147" s="56"/>
      <c r="N147" s="56"/>
      <c r="O147" s="57"/>
      <c r="P147" s="57"/>
    </row>
    <row r="148" spans="1:11" ht="12.75">
      <c r="A148" s="18" t="s">
        <v>72</v>
      </c>
      <c r="B148" s="47" t="s">
        <v>23</v>
      </c>
      <c r="C148" s="47" t="s">
        <v>24</v>
      </c>
      <c r="D148" s="47" t="s">
        <v>48</v>
      </c>
      <c r="E148" s="30" t="s">
        <v>26</v>
      </c>
      <c r="F148" s="47" t="s">
        <v>27</v>
      </c>
      <c r="G148" s="47" t="s">
        <v>28</v>
      </c>
      <c r="H148" s="47" t="s">
        <v>29</v>
      </c>
      <c r="I148" s="48" t="s">
        <v>30</v>
      </c>
      <c r="J148" s="49"/>
      <c r="K148" s="48"/>
    </row>
    <row r="149" spans="1:17" ht="12.75">
      <c r="A149" s="18"/>
      <c r="B149" s="50">
        <v>108</v>
      </c>
      <c r="C149" s="50">
        <v>1</v>
      </c>
      <c r="D149" s="64">
        <v>0.025</v>
      </c>
      <c r="E149" s="51">
        <v>1</v>
      </c>
      <c r="F149" s="50">
        <f>SUM(B149*C149*D149*E149)</f>
        <v>2.7</v>
      </c>
      <c r="G149" s="50">
        <v>0</v>
      </c>
      <c r="H149" s="50">
        <f>SUM(F149:G149)</f>
        <v>2.7</v>
      </c>
      <c r="K149" s="52">
        <v>0</v>
      </c>
      <c r="L149" s="33" t="str">
        <f>('Materiálové hodnoty'!B30)</f>
        <v>Drevovláknitá doska</v>
      </c>
      <c r="O149" s="34">
        <f>SUM($I$154*'Materiálové hodnoty'!J30*'Materiálové hodnoty'!E30*$K149)</f>
        <v>0</v>
      </c>
      <c r="P149" s="34">
        <f>SUM($I$154*'Materiálové hodnoty'!K30*'Materiálové hodnoty'!E30*$K149)</f>
        <v>0</v>
      </c>
      <c r="Q149" s="34">
        <f>SUM($I$154*'Materiálové hodnoty'!L30*'Materiálové hodnoty'!E30*$K149)</f>
        <v>0</v>
      </c>
    </row>
    <row r="150" spans="1:17" ht="12.75">
      <c r="A150" s="18"/>
      <c r="B150" s="50">
        <v>0</v>
      </c>
      <c r="C150" s="50">
        <v>0</v>
      </c>
      <c r="D150" s="64">
        <v>0</v>
      </c>
      <c r="E150" s="51">
        <v>1</v>
      </c>
      <c r="F150" s="50">
        <f>SUM(B150*C150*D150*E150)</f>
        <v>0</v>
      </c>
      <c r="G150" s="50">
        <v>0</v>
      </c>
      <c r="H150" s="50">
        <f>SUM(F150:G150)</f>
        <v>0</v>
      </c>
      <c r="K150" s="52">
        <v>0</v>
      </c>
      <c r="L150" s="33" t="str">
        <f>('Materiálové hodnoty'!B31)</f>
        <v>Drevovláknitá doska</v>
      </c>
      <c r="O150" s="34">
        <f>SUM($I$154*'Materiálové hodnoty'!J31*'Materiálové hodnoty'!E31*$K150)</f>
        <v>0</v>
      </c>
      <c r="P150" s="34">
        <f>SUM($I$154*'Materiálové hodnoty'!K31*'Materiálové hodnoty'!E31*$K150)</f>
        <v>0</v>
      </c>
      <c r="Q150" s="34">
        <f>SUM($I$154*'Materiálové hodnoty'!L31*'Materiálové hodnoty'!E31*$K150)</f>
        <v>0</v>
      </c>
    </row>
    <row r="151" spans="1:17" ht="12.75">
      <c r="A151" s="18"/>
      <c r="B151" s="50">
        <v>0</v>
      </c>
      <c r="C151" s="50">
        <v>0</v>
      </c>
      <c r="D151" s="64">
        <v>0</v>
      </c>
      <c r="E151" s="51">
        <v>1</v>
      </c>
      <c r="F151" s="50">
        <f>SUM(B151*C151*D151*E151)</f>
        <v>0</v>
      </c>
      <c r="G151" s="50">
        <v>0</v>
      </c>
      <c r="H151" s="50">
        <f>SUM(F151:G151)</f>
        <v>0</v>
      </c>
      <c r="I151" s="48"/>
      <c r="J151" s="49"/>
      <c r="K151" s="52">
        <v>0</v>
      </c>
      <c r="L151" s="33" t="str">
        <f>('Materiálové hodnoty'!B32)</f>
        <v>Drevovláknitá doska</v>
      </c>
      <c r="O151" s="34">
        <f>SUM($I$154*'Materiálové hodnoty'!J32*'Materiálové hodnoty'!E32*$K151)</f>
        <v>0</v>
      </c>
      <c r="P151" s="34">
        <f>SUM($I$154*'Materiálové hodnoty'!K32*'Materiálové hodnoty'!E32*$K151)</f>
        <v>0</v>
      </c>
      <c r="Q151" s="34">
        <f>SUM($I$154*'Materiálové hodnoty'!L32*'Materiálové hodnoty'!E32*$K151)</f>
        <v>0</v>
      </c>
    </row>
    <row r="152" spans="1:17" ht="12.75">
      <c r="A152" s="18"/>
      <c r="B152" s="50">
        <v>0</v>
      </c>
      <c r="C152" s="50">
        <v>0</v>
      </c>
      <c r="D152" s="64">
        <v>0</v>
      </c>
      <c r="E152" s="51">
        <v>1</v>
      </c>
      <c r="F152" s="50">
        <f>SUM(B152*C152*D152*E152)</f>
        <v>0</v>
      </c>
      <c r="G152" s="50">
        <v>0</v>
      </c>
      <c r="H152" s="50">
        <f>SUM(F152:G152)</f>
        <v>0</v>
      </c>
      <c r="K152" s="52">
        <v>1</v>
      </c>
      <c r="L152" s="33" t="str">
        <f>('Materiálové hodnoty'!B33)</f>
        <v>Drevený záklop</v>
      </c>
      <c r="O152" s="34">
        <f>SUM($I$154*'Materiálové hodnoty'!J33*'Materiálové hodnoty'!E33*$K152)</f>
        <v>4347</v>
      </c>
      <c r="P152" s="34">
        <f>SUM($I$154*'Materiálové hodnoty'!K33*'Materiálové hodnoty'!E33*$K152)</f>
        <v>-2203.2000000000003</v>
      </c>
      <c r="Q152" s="34">
        <f>SUM($I$154*'Materiálové hodnoty'!L33*'Materiálové hodnoty'!E33*$K152)</f>
        <v>2.4705000000000004</v>
      </c>
    </row>
    <row r="153" spans="1:17" ht="12.75">
      <c r="A153" s="18"/>
      <c r="B153" s="50">
        <v>0</v>
      </c>
      <c r="C153" s="50">
        <v>0</v>
      </c>
      <c r="D153" s="64">
        <v>0</v>
      </c>
      <c r="E153" s="51">
        <v>1</v>
      </c>
      <c r="F153" s="50">
        <f>SUM(B153*C153*D153*E153)</f>
        <v>0</v>
      </c>
      <c r="G153" s="50">
        <v>0</v>
      </c>
      <c r="H153" s="50">
        <f>SUM(F153:G153)</f>
        <v>0</v>
      </c>
      <c r="K153" s="52">
        <v>0</v>
      </c>
      <c r="L153" s="33" t="str">
        <f>('Materiálové hodnoty'!B34)</f>
        <v>MDF </v>
      </c>
      <c r="O153" s="34">
        <f>SUM($I$154*'Materiálové hodnoty'!J34*'Materiálové hodnoty'!E34*$K153)</f>
        <v>0</v>
      </c>
      <c r="P153" s="34">
        <f>SUM($I$154*'Materiálové hodnoty'!K34*'Materiálové hodnoty'!E34*$K153)</f>
        <v>0</v>
      </c>
      <c r="Q153" s="34">
        <f>SUM($I$154*'Materiálové hodnoty'!L34*'Materiálové hodnoty'!E34*$K153)</f>
        <v>0</v>
      </c>
    </row>
    <row r="154" spans="1:17" ht="12.75">
      <c r="A154" s="18"/>
      <c r="B154" s="50">
        <v>0</v>
      </c>
      <c r="C154" s="50">
        <v>0</v>
      </c>
      <c r="D154" s="64">
        <v>0</v>
      </c>
      <c r="E154" s="51">
        <v>1</v>
      </c>
      <c r="F154" s="50">
        <f>SUM(B154*C154*D154*E154)</f>
        <v>0</v>
      </c>
      <c r="G154" s="50">
        <v>0</v>
      </c>
      <c r="H154" s="50">
        <f>SUM(F154:G154)</f>
        <v>0</v>
      </c>
      <c r="I154" s="31">
        <f>SUM(H149:H154)</f>
        <v>2.7</v>
      </c>
      <c r="J154" s="32" t="s">
        <v>31</v>
      </c>
      <c r="K154" s="52">
        <v>0</v>
      </c>
      <c r="L154" s="33" t="str">
        <f>('Materiálové hodnoty'!B35)</f>
        <v>OSB</v>
      </c>
      <c r="O154" s="34">
        <f>SUM($I$154*'Materiálové hodnoty'!J35*'Materiálové hodnoty'!E35*$K154)</f>
        <v>0</v>
      </c>
      <c r="P154" s="34">
        <f>SUM($I$154*'Materiálové hodnoty'!K35*'Materiálové hodnoty'!E35*$K154)</f>
        <v>0</v>
      </c>
      <c r="Q154" s="34">
        <f>SUM($I$154*'Materiálové hodnoty'!L35*'Materiálové hodnoty'!E35*$K154)</f>
        <v>0</v>
      </c>
    </row>
    <row r="155" spans="4:17" s="18" customFormat="1" ht="12.75">
      <c r="D155" s="65"/>
      <c r="E155" s="53"/>
      <c r="I155" s="32"/>
      <c r="J155" s="32"/>
      <c r="K155" s="32"/>
      <c r="L155" s="56"/>
      <c r="M155" s="56"/>
      <c r="N155" s="56"/>
      <c r="O155" s="57"/>
      <c r="P155" s="57"/>
      <c r="Q155" s="57"/>
    </row>
    <row r="156" spans="1:11" ht="12.75">
      <c r="A156" t="s">
        <v>34</v>
      </c>
      <c r="B156" s="47" t="s">
        <v>23</v>
      </c>
      <c r="C156" s="47" t="s">
        <v>24</v>
      </c>
      <c r="D156" s="47"/>
      <c r="E156" s="30" t="s">
        <v>26</v>
      </c>
      <c r="F156" s="47" t="s">
        <v>35</v>
      </c>
      <c r="G156" s="47" t="s">
        <v>28</v>
      </c>
      <c r="H156" s="47" t="s">
        <v>29</v>
      </c>
      <c r="I156" s="48" t="s">
        <v>30</v>
      </c>
      <c r="J156" s="49"/>
      <c r="K156" s="48"/>
    </row>
    <row r="157" spans="2:8" ht="12.75">
      <c r="B157" s="50">
        <v>128</v>
      </c>
      <c r="C157" s="50">
        <v>1</v>
      </c>
      <c r="D157" s="50"/>
      <c r="E157" s="51">
        <v>1</v>
      </c>
      <c r="F157" s="50">
        <f>SUM(B157*C157*E157)</f>
        <v>128</v>
      </c>
      <c r="G157" s="50">
        <v>19.5</v>
      </c>
      <c r="H157" s="50">
        <f>SUM(F157:G157)</f>
        <v>147.5</v>
      </c>
    </row>
    <row r="158" spans="2:8" ht="12.75">
      <c r="B158" s="50">
        <v>0</v>
      </c>
      <c r="C158" s="50">
        <v>0</v>
      </c>
      <c r="D158" s="50"/>
      <c r="E158" s="51">
        <v>1</v>
      </c>
      <c r="F158" s="50">
        <f>SUM(B158*C158*E158)</f>
        <v>0</v>
      </c>
      <c r="G158" s="50">
        <v>0</v>
      </c>
      <c r="H158" s="50">
        <f>SUM(F158:G158)</f>
        <v>0</v>
      </c>
    </row>
    <row r="159" spans="2:17" ht="12.75">
      <c r="B159" s="50">
        <v>0</v>
      </c>
      <c r="C159" s="50">
        <v>0</v>
      </c>
      <c r="D159" s="50"/>
      <c r="E159" s="51">
        <v>1</v>
      </c>
      <c r="F159" s="50">
        <f>SUM(B159*C159*E159)</f>
        <v>0</v>
      </c>
      <c r="G159" s="50">
        <v>0</v>
      </c>
      <c r="H159" s="50">
        <f>SUM(F159:G159)</f>
        <v>0</v>
      </c>
      <c r="I159" s="31">
        <f>SUM(H157:H159)</f>
        <v>147.5</v>
      </c>
      <c r="J159" s="32" t="s">
        <v>36</v>
      </c>
      <c r="K159" s="52">
        <v>1</v>
      </c>
      <c r="L159" s="33" t="str">
        <f>('Materiálové hodnoty'!B140)</f>
        <v>Geotextília</v>
      </c>
      <c r="M159" s="54">
        <v>150</v>
      </c>
      <c r="N159" s="33" t="s">
        <v>37</v>
      </c>
      <c r="O159" s="34">
        <f>SUM('Materiálové hodnoty'!J140*$M$159*0.001*$I$159*$K$159)</f>
        <v>2073.1125</v>
      </c>
      <c r="P159" s="34">
        <f>SUM('Materiálové hodnoty'!K140*$M$159*0.001*$I$159*$K$159)</f>
        <v>62.392500000000005</v>
      </c>
      <c r="Q159" s="34">
        <f>SUM('Materiálové hodnoty'!L140*$M$159*0.001*$I$159*$K$159)</f>
        <v>0.531</v>
      </c>
    </row>
    <row r="160" spans="4:17" s="18" customFormat="1" ht="12.75">
      <c r="D160" s="65"/>
      <c r="E160" s="53"/>
      <c r="I160" s="32"/>
      <c r="J160" s="32"/>
      <c r="K160" s="32"/>
      <c r="L160" s="56"/>
      <c r="M160" s="56"/>
      <c r="N160" s="56"/>
      <c r="O160" s="57"/>
      <c r="P160" s="57"/>
      <c r="Q160" s="57"/>
    </row>
    <row r="161" spans="1:16" ht="12.75">
      <c r="A161" s="18"/>
      <c r="B161" s="18"/>
      <c r="C161" s="18"/>
      <c r="D161" s="18"/>
      <c r="E161" s="53"/>
      <c r="F161" s="18"/>
      <c r="G161" s="18"/>
      <c r="H161" s="18"/>
      <c r="I161" s="32"/>
      <c r="K161" s="32"/>
      <c r="L161" s="56"/>
      <c r="M161" s="56"/>
      <c r="N161" s="56"/>
      <c r="O161" s="57"/>
      <c r="P161" s="57"/>
    </row>
    <row r="162" spans="1:11" ht="12.75">
      <c r="A162" s="31" t="s">
        <v>73</v>
      </c>
      <c r="B162" s="47" t="s">
        <v>23</v>
      </c>
      <c r="C162" s="47" t="s">
        <v>24</v>
      </c>
      <c r="D162" s="47"/>
      <c r="E162" s="30" t="s">
        <v>26</v>
      </c>
      <c r="F162" s="47" t="s">
        <v>35</v>
      </c>
      <c r="G162" s="47" t="s">
        <v>28</v>
      </c>
      <c r="H162" s="47" t="s">
        <v>29</v>
      </c>
      <c r="I162" s="48" t="s">
        <v>30</v>
      </c>
      <c r="J162" s="49"/>
      <c r="K162" s="48"/>
    </row>
    <row r="163" spans="1:17" ht="12.75">
      <c r="A163" s="59" t="s">
        <v>74</v>
      </c>
      <c r="B163" s="50">
        <v>114</v>
      </c>
      <c r="C163" s="50">
        <v>1</v>
      </c>
      <c r="D163" s="50"/>
      <c r="E163" s="51">
        <v>1</v>
      </c>
      <c r="F163" s="50">
        <f>SUM(B163*C163*E163)</f>
        <v>114</v>
      </c>
      <c r="G163" s="50"/>
      <c r="H163" s="50">
        <f>SUM(F163:G163)</f>
        <v>114</v>
      </c>
      <c r="K163" s="52">
        <v>0</v>
      </c>
      <c r="L163" s="33" t="str">
        <f>'Materiálové hodnoty'!B126</f>
        <v>Medený plech</v>
      </c>
      <c r="O163" s="34">
        <f>SUM($I$173*'Materiálové hodnoty'!N126*$K163)</f>
        <v>0</v>
      </c>
      <c r="P163" s="34">
        <f>SUM($I$173*'Materiálové hodnoty'!O126*$K163)</f>
        <v>0</v>
      </c>
      <c r="Q163" s="34">
        <f>SUM($I$173*'Materiálové hodnoty'!P126*$K163)</f>
        <v>0</v>
      </c>
    </row>
    <row r="164" spans="1:17" ht="12.75">
      <c r="A164" s="59" t="s">
        <v>75</v>
      </c>
      <c r="B164" s="50">
        <v>14</v>
      </c>
      <c r="C164" s="50">
        <v>1</v>
      </c>
      <c r="D164" s="50"/>
      <c r="E164" s="51">
        <v>1</v>
      </c>
      <c r="F164" s="50">
        <f>SUM(B164*C164*E164)</f>
        <v>14</v>
      </c>
      <c r="G164" s="50">
        <v>0</v>
      </c>
      <c r="H164" s="50">
        <f>SUM(F164:G164)</f>
        <v>14</v>
      </c>
      <c r="K164" s="52">
        <v>0</v>
      </c>
      <c r="L164" s="33" t="str">
        <f>'Materiálové hodnoty'!B127</f>
        <v>Titánzinok</v>
      </c>
      <c r="O164" s="34">
        <f>SUM($I$173*'Materiálové hodnoty'!N127*$K164)</f>
        <v>0</v>
      </c>
      <c r="P164" s="34">
        <f>SUM($I$173*'Materiálové hodnoty'!O127*$K164)</f>
        <v>0</v>
      </c>
      <c r="Q164" s="34">
        <f>SUM($I$173*'Materiálové hodnoty'!P127*$K164)</f>
        <v>0</v>
      </c>
    </row>
    <row r="165" spans="1:17" ht="12.75">
      <c r="A165" s="59" t="s">
        <v>76</v>
      </c>
      <c r="B165" s="50">
        <v>0</v>
      </c>
      <c r="C165" s="50">
        <v>0</v>
      </c>
      <c r="D165" s="50"/>
      <c r="E165" s="51">
        <v>1</v>
      </c>
      <c r="F165" s="50">
        <f>SUM(B165*C165*E165)</f>
        <v>0</v>
      </c>
      <c r="G165" s="50">
        <v>0</v>
      </c>
      <c r="H165" s="50">
        <f>SUM(F165:G165)</f>
        <v>0</v>
      </c>
      <c r="K165" s="52">
        <f>SUM(H164/H163)</f>
        <v>0.12280701754385964</v>
      </c>
      <c r="L165" s="33" t="str">
        <f>'Materiálové hodnoty'!B128</f>
        <v>Pozinkovaný plech </v>
      </c>
      <c r="O165" s="34">
        <f>SUM($I$173*'Materiálové hodnoty'!N128*$K165)</f>
        <v>3175.6126315789475</v>
      </c>
      <c r="P165" s="34">
        <f>SUM($I$173*'Materiálové hodnoty'!O128*$K165)</f>
        <v>139.89861052631576</v>
      </c>
      <c r="Q165" s="34">
        <f>SUM($I$173*'Materiálové hodnoty'!P128*$K165)</f>
        <v>0.978432</v>
      </c>
    </row>
    <row r="166" spans="1:17" ht="12.75">
      <c r="A166" s="59" t="s">
        <v>77</v>
      </c>
      <c r="B166" s="50">
        <v>0</v>
      </c>
      <c r="C166" s="50">
        <v>0</v>
      </c>
      <c r="D166" s="50"/>
      <c r="E166" s="51">
        <v>1</v>
      </c>
      <c r="F166" s="50">
        <f>SUM(B166*C166*D166*E166)</f>
        <v>0</v>
      </c>
      <c r="G166" s="50">
        <v>0</v>
      </c>
      <c r="H166" s="50">
        <f>SUM(F166:G166)</f>
        <v>0</v>
      </c>
      <c r="K166" s="52">
        <v>0</v>
      </c>
      <c r="L166" s="33" t="str">
        <f>'Materiálové hodnoty'!B129</f>
        <v>Hliníkový plech s práškovou farbou</v>
      </c>
      <c r="O166" s="34">
        <f>SUM($I$173*'Materiálové hodnoty'!N129*$K166)</f>
        <v>0</v>
      </c>
      <c r="P166" s="34">
        <f>SUM($I$173*'Materiálové hodnoty'!O129*$K166)</f>
        <v>0</v>
      </c>
      <c r="Q166" s="34">
        <f>SUM($I$173*'Materiálové hodnoty'!P129*$K166)</f>
        <v>0</v>
      </c>
    </row>
    <row r="167" spans="1:11" ht="12.75">
      <c r="A167" s="60" t="s">
        <v>58</v>
      </c>
      <c r="B167" s="50">
        <v>0</v>
      </c>
      <c r="C167" s="50">
        <v>0</v>
      </c>
      <c r="D167" s="50"/>
      <c r="E167" s="51">
        <v>1</v>
      </c>
      <c r="F167" s="50">
        <f>SUM(B167*C167*E167)</f>
        <v>0</v>
      </c>
      <c r="G167" s="50">
        <v>0</v>
      </c>
      <c r="H167" s="50">
        <f>SUM(F167:G167)</f>
        <v>0</v>
      </c>
      <c r="I167"/>
      <c r="J167"/>
      <c r="K167" s="52">
        <v>0</v>
      </c>
    </row>
    <row r="168" spans="1:17" ht="12.75">
      <c r="A168" s="60" t="s">
        <v>58</v>
      </c>
      <c r="B168" s="50">
        <v>0</v>
      </c>
      <c r="C168" s="50">
        <v>0</v>
      </c>
      <c r="D168" s="50"/>
      <c r="E168" s="51">
        <v>1</v>
      </c>
      <c r="F168" s="50">
        <f>SUM(B168*C168*E168)</f>
        <v>0</v>
      </c>
      <c r="G168" s="50">
        <v>0</v>
      </c>
      <c r="H168" s="50">
        <f>SUM(F168:G168)</f>
        <v>0</v>
      </c>
      <c r="K168" s="52">
        <v>0</v>
      </c>
      <c r="L168" s="33" t="str">
        <f>'Materiálové hodnoty'!B131</f>
        <v>Hliníkový plech eloxovaný</v>
      </c>
      <c r="O168" s="34">
        <f>SUM($I$173*'Materiálové hodnoty'!N131*$K168)</f>
        <v>0</v>
      </c>
      <c r="P168" s="34">
        <f>SUM($I$173*'Materiálové hodnoty'!O131*$K168)</f>
        <v>0</v>
      </c>
      <c r="Q168" s="34">
        <f>SUM($I$173*'Materiálové hodnoty'!P131*$K168)</f>
        <v>0</v>
      </c>
    </row>
    <row r="169" spans="1:17" ht="12.75">
      <c r="A169" s="60" t="s">
        <v>58</v>
      </c>
      <c r="B169" s="50">
        <v>0</v>
      </c>
      <c r="C169" s="50">
        <v>0</v>
      </c>
      <c r="D169" s="50"/>
      <c r="E169" s="51">
        <v>1</v>
      </c>
      <c r="F169" s="50">
        <f>SUM(B169*C169*E169)</f>
        <v>0</v>
      </c>
      <c r="G169" s="50">
        <v>0</v>
      </c>
      <c r="H169" s="50">
        <f>SUM(F169:G169)</f>
        <v>0</v>
      </c>
      <c r="K169" s="52">
        <v>0</v>
      </c>
      <c r="L169" s="33" t="str">
        <f>'Materiálové hodnoty'!B132</f>
        <v>Pálená hlinená škridla</v>
      </c>
      <c r="O169" s="34">
        <f>SUM($I$173*'Materiálové hodnoty'!N132*$K169)</f>
        <v>0</v>
      </c>
      <c r="P169" s="34">
        <f>SUM($I$173*'Materiálové hodnoty'!O132*$K169)</f>
        <v>0</v>
      </c>
      <c r="Q169" s="34">
        <f>SUM($I$173*'Materiálové hodnoty'!P132*$K169)</f>
        <v>0</v>
      </c>
    </row>
    <row r="170" spans="1:17" ht="12.75">
      <c r="A170" s="60" t="s">
        <v>58</v>
      </c>
      <c r="B170" s="50">
        <v>0</v>
      </c>
      <c r="C170" s="50">
        <v>0</v>
      </c>
      <c r="D170" s="50"/>
      <c r="E170" s="51">
        <v>1</v>
      </c>
      <c r="F170" s="50">
        <f>SUM(B170*C170*E170)</f>
        <v>0</v>
      </c>
      <c r="G170" s="50">
        <v>0</v>
      </c>
      <c r="H170" s="50">
        <f>SUM(F170:G170)</f>
        <v>0</v>
      </c>
      <c r="K170" s="52">
        <v>0</v>
      </c>
      <c r="L170" s="33" t="str">
        <f>'Materiálové hodnoty'!B133</f>
        <v>Betónová škridla</v>
      </c>
      <c r="O170" s="34">
        <f>SUM($I$173*'Materiálové hodnoty'!N133*$K170)</f>
        <v>0</v>
      </c>
      <c r="P170" s="34">
        <f>SUM($I$173*'Materiálové hodnoty'!O133*$K170)</f>
        <v>0</v>
      </c>
      <c r="Q170" s="34">
        <f>SUM($I$173*'Materiálové hodnoty'!P133*$K170)</f>
        <v>0</v>
      </c>
    </row>
    <row r="171" spans="1:17" ht="12.75">
      <c r="A171" s="60" t="s">
        <v>58</v>
      </c>
      <c r="B171" s="50">
        <v>0</v>
      </c>
      <c r="C171" s="50">
        <v>0</v>
      </c>
      <c r="D171" s="50"/>
      <c r="E171" s="51">
        <v>1</v>
      </c>
      <c r="F171" s="50">
        <f>SUM(B171*C171*E171)</f>
        <v>0</v>
      </c>
      <c r="G171" s="50">
        <v>0</v>
      </c>
      <c r="H171" s="50">
        <f>SUM(F171:G171)</f>
        <v>0</v>
      </c>
      <c r="K171" s="52">
        <f>SUM(1-K165)</f>
        <v>0.8771929824561404</v>
      </c>
      <c r="L171" s="33" t="str">
        <f>'Materiálové hodnoty'!B134</f>
        <v>EPDM</v>
      </c>
      <c r="O171" s="34">
        <f>SUM($I$173*'Materiálové hodnoty'!N134*$K171)</f>
        <v>18270.315789473687</v>
      </c>
      <c r="P171" s="34">
        <f>SUM($I$173*'Materiálové hodnoty'!O134*$K171)</f>
        <v>536.7915789473684</v>
      </c>
      <c r="Q171" s="34">
        <f>SUM($I$173*'Materiálové hodnoty'!P134*$K171)</f>
        <v>3.152842105263158</v>
      </c>
    </row>
    <row r="172" spans="1:17" ht="12.75">
      <c r="A172" s="61" t="s">
        <v>59</v>
      </c>
      <c r="B172" s="50">
        <v>0</v>
      </c>
      <c r="C172" s="50">
        <v>0</v>
      </c>
      <c r="D172" s="50"/>
      <c r="E172" s="51">
        <v>-1</v>
      </c>
      <c r="F172" s="50">
        <f>SUM(B172*C172*E172)</f>
        <v>0</v>
      </c>
      <c r="G172" s="50">
        <v>0</v>
      </c>
      <c r="H172" s="50">
        <f>SUM(F172:G172)</f>
        <v>0</v>
      </c>
      <c r="K172" s="52">
        <v>0</v>
      </c>
      <c r="L172" s="33" t="str">
        <f>'Materiálové hodnoty'!B135</f>
        <v>Polymerbitumenová fólia</v>
      </c>
      <c r="O172" s="34">
        <f>SUM($I$173*'Materiálové hodnoty'!N135*$K172:K172)</f>
        <v>0</v>
      </c>
      <c r="P172" s="34">
        <f>SUM($I$173*'Materiálové hodnoty'!O135*$K172:K172)</f>
        <v>0</v>
      </c>
      <c r="Q172" s="34">
        <f>SUM($I$173*'Materiálové hodnoty'!P135*$K172:K172)</f>
        <v>0</v>
      </c>
    </row>
    <row r="173" spans="1:17" ht="12.75">
      <c r="A173" s="61" t="s">
        <v>59</v>
      </c>
      <c r="B173" s="50">
        <v>0</v>
      </c>
      <c r="C173" s="50">
        <v>0</v>
      </c>
      <c r="D173" s="50"/>
      <c r="E173" s="51">
        <v>-1</v>
      </c>
      <c r="F173" s="50">
        <f>SUM(B173*C173*E173)</f>
        <v>0</v>
      </c>
      <c r="G173" s="50">
        <v>0</v>
      </c>
      <c r="H173" s="50">
        <f>SUM(F173:G173)</f>
        <v>0</v>
      </c>
      <c r="I173" s="31">
        <f>SUM(H163:H173)</f>
        <v>128</v>
      </c>
      <c r="J173" s="32" t="s">
        <v>36</v>
      </c>
      <c r="K173" s="52">
        <v>0</v>
      </c>
      <c r="L173" t="s">
        <v>78</v>
      </c>
      <c r="M173"/>
      <c r="N173"/>
      <c r="O173" s="34">
        <f>SUM($I$173*'Materiálové hodnoty'!E10*'Materiálové hodnoty'!J10*0.018*$K173)</f>
        <v>0</v>
      </c>
      <c r="P173" s="34">
        <f>SUM($I$173*'Materiálové hodnoty'!F10*'Materiálové hodnoty'!K10*0.018*$K173)</f>
        <v>0</v>
      </c>
      <c r="Q173" s="34">
        <f>SUM($I$173*'Materiálové hodnoty'!G10*'Materiálové hodnoty'!L10*0.018*$K173)</f>
        <v>0</v>
      </c>
    </row>
    <row r="174" spans="1:14" ht="12.75">
      <c r="A174" s="61"/>
      <c r="B174" s="18"/>
      <c r="C174" s="18"/>
      <c r="D174" s="18"/>
      <c r="E174" s="53"/>
      <c r="F174" s="18"/>
      <c r="G174" s="18"/>
      <c r="H174" s="18"/>
      <c r="I174" s="32"/>
      <c r="K174" s="32"/>
      <c r="L174" s="18"/>
      <c r="M174"/>
      <c r="N174"/>
    </row>
    <row r="175" spans="1:11" ht="12.75">
      <c r="A175" t="s">
        <v>79</v>
      </c>
      <c r="B175" s="47" t="s">
        <v>23</v>
      </c>
      <c r="C175" s="47" t="s">
        <v>24</v>
      </c>
      <c r="D175" s="47" t="s">
        <v>25</v>
      </c>
      <c r="E175" s="30" t="s">
        <v>26</v>
      </c>
      <c r="F175" s="47" t="s">
        <v>27</v>
      </c>
      <c r="G175" s="47" t="s">
        <v>28</v>
      </c>
      <c r="H175" s="47" t="s">
        <v>29</v>
      </c>
      <c r="I175" s="48" t="s">
        <v>30</v>
      </c>
      <c r="J175" s="49"/>
      <c r="K175" s="48"/>
    </row>
    <row r="176" spans="1:11" ht="12.75">
      <c r="A176" s="58"/>
      <c r="B176" s="50">
        <v>82.8</v>
      </c>
      <c r="C176" s="50">
        <v>1</v>
      </c>
      <c r="D176" s="50">
        <v>0.15</v>
      </c>
      <c r="E176" s="51">
        <v>1</v>
      </c>
      <c r="F176" s="50">
        <f>SUM(B176*C176*D176*E176)</f>
        <v>12.42</v>
      </c>
      <c r="G176" s="50">
        <v>0</v>
      </c>
      <c r="H176" s="50">
        <f>SUM(F176:G176)</f>
        <v>12.42</v>
      </c>
      <c r="I176" s="48"/>
      <c r="J176" s="49"/>
      <c r="K176" s="48"/>
    </row>
    <row r="177" spans="1:17" ht="12.75">
      <c r="A177" s="58"/>
      <c r="B177" s="50">
        <v>38</v>
      </c>
      <c r="C177" s="50">
        <v>0.2</v>
      </c>
      <c r="D177" s="50">
        <v>0.15</v>
      </c>
      <c r="E177" s="51">
        <v>-1</v>
      </c>
      <c r="F177" s="50">
        <f>SUM(B177*C177*D177*E177)</f>
        <v>-1.1400000000000001</v>
      </c>
      <c r="G177" s="50">
        <v>0</v>
      </c>
      <c r="H177" s="50">
        <f>SUM(F177:G177)</f>
        <v>-1.1400000000000001</v>
      </c>
      <c r="K177" s="52">
        <v>0.30000000000000004</v>
      </c>
      <c r="L177" s="33" t="str">
        <f>('Materiálové hodnoty'!B69)</f>
        <v>Keramzit</v>
      </c>
      <c r="O177" s="34">
        <f>SUM($I$179*'Materiálové hodnoty'!$E69*'Materiálové hodnoty'!J69*$K177)</f>
        <v>3316.320000000001</v>
      </c>
      <c r="P177" s="34">
        <f>SUM($I$179*'Materiálové hodnoty'!$E69*'Materiálové hodnoty'!K69*$K177)</f>
        <v>450.7488000000001</v>
      </c>
      <c r="Q177" s="34">
        <f>SUM($I$179*'Materiálové hodnoty'!$E69*'Materiálové hodnoty'!L69*$K177)</f>
        <v>2.9102400000000004</v>
      </c>
    </row>
    <row r="178" spans="1:17" ht="12.75">
      <c r="A178" s="58"/>
      <c r="B178" s="50">
        <v>0</v>
      </c>
      <c r="C178" s="50">
        <v>0</v>
      </c>
      <c r="D178" s="50">
        <v>0</v>
      </c>
      <c r="E178" s="51">
        <v>1</v>
      </c>
      <c r="F178" s="50">
        <f>SUM(B178*C178*D178*E178)</f>
        <v>0</v>
      </c>
      <c r="G178" s="50">
        <v>0</v>
      </c>
      <c r="H178" s="50">
        <f>SUM(F178:G178)</f>
        <v>0</v>
      </c>
      <c r="K178" s="52">
        <v>0.4</v>
      </c>
      <c r="L178" s="33" t="s">
        <v>80</v>
      </c>
      <c r="O178" s="34">
        <f>SUM($I$179*'Materiálové hodnoty'!$E6*'Materiálové hodnoty'!J6*$K178)</f>
        <v>794.1120000000001</v>
      </c>
      <c r="P178" s="34">
        <f>SUM($I$179*'Materiálové hodnoty'!$E6*'Materiálové hodnoty'!K6*$K178)</f>
        <v>50.534400000000005</v>
      </c>
      <c r="Q178" s="34">
        <f>SUM($I$179*'Materiálové hodnoty'!$E6*'Materiálové hodnoty'!L6*$K178)</f>
        <v>0.8663040000000001</v>
      </c>
    </row>
    <row r="179" spans="2:17" ht="12.75">
      <c r="B179" s="50">
        <v>0</v>
      </c>
      <c r="C179" s="50">
        <v>0</v>
      </c>
      <c r="D179" s="50">
        <v>0</v>
      </c>
      <c r="E179" s="51">
        <v>1</v>
      </c>
      <c r="F179" s="50">
        <f>SUM(B179*C179*D179*E179)</f>
        <v>0</v>
      </c>
      <c r="G179" s="50">
        <v>0</v>
      </c>
      <c r="H179" s="50">
        <f>SUM(F179:G179)</f>
        <v>0</v>
      </c>
      <c r="I179" s="31">
        <f>SUM(H176:H179)</f>
        <v>11.28</v>
      </c>
      <c r="J179" s="32" t="s">
        <v>31</v>
      </c>
      <c r="K179" s="52">
        <v>0.30000000000000004</v>
      </c>
      <c r="L179" s="33" t="str">
        <f>('Materiálové hodnoty'!B7)</f>
        <v>Piesok, vlhký 20%</v>
      </c>
      <c r="O179" s="34">
        <f>SUM($I$179*'Materiálové hodnoty'!$E7*'Materiálové hodnoty'!J7*$K179)</f>
        <v>507.5492400000001</v>
      </c>
      <c r="P179" s="34">
        <f>SUM($I$179*'Materiálové hodnoty'!$E7*'Materiálové hodnoty'!K7*$K179)</f>
        <v>29.983932000000006</v>
      </c>
      <c r="Q179" s="34">
        <f>SUM($I$179*'Materiálové hodnoty'!$E7*'Materiálové hodnoty'!L7*$K179)</f>
        <v>0.21776040000000002</v>
      </c>
    </row>
    <row r="180" spans="1:14" ht="12.75">
      <c r="A180" s="61"/>
      <c r="B180" s="18"/>
      <c r="C180" s="18"/>
      <c r="D180" s="18"/>
      <c r="E180" s="53"/>
      <c r="F180" s="18"/>
      <c r="G180" s="18"/>
      <c r="H180" s="18"/>
      <c r="I180" s="32"/>
      <c r="K180" s="32"/>
      <c r="L180" s="18"/>
      <c r="M180"/>
      <c r="N180"/>
    </row>
    <row r="181" spans="11:12" ht="12.75">
      <c r="K181" s="32"/>
      <c r="L181" s="62"/>
    </row>
    <row r="182" spans="1:17" ht="15">
      <c r="A182" s="42" t="s">
        <v>47</v>
      </c>
      <c r="B182" s="43"/>
      <c r="C182" s="43"/>
      <c r="D182" s="43"/>
      <c r="E182" s="44"/>
      <c r="F182" s="43"/>
      <c r="G182" s="43"/>
      <c r="H182" s="43"/>
      <c r="I182" s="42"/>
      <c r="J182" s="42"/>
      <c r="K182" s="42"/>
      <c r="L182" s="45"/>
      <c r="M182" s="45"/>
      <c r="N182" s="45"/>
      <c r="O182" s="46">
        <f>SUM(O184:O235)</f>
        <v>59421.075000000004</v>
      </c>
      <c r="P182" s="46">
        <f>SUM(P184:P235)</f>
        <v>-7666.4175</v>
      </c>
      <c r="Q182" s="46">
        <f>SUM(Q184:Q235)</f>
        <v>28.823025000000005</v>
      </c>
    </row>
    <row r="184" spans="1:11" ht="12.75">
      <c r="A184" s="31" t="s">
        <v>81</v>
      </c>
      <c r="B184" s="47" t="s">
        <v>82</v>
      </c>
      <c r="C184" s="47" t="s">
        <v>24</v>
      </c>
      <c r="D184" s="47" t="s">
        <v>48</v>
      </c>
      <c r="E184" s="30" t="s">
        <v>26</v>
      </c>
      <c r="F184" s="47" t="s">
        <v>27</v>
      </c>
      <c r="G184" s="47" t="s">
        <v>28</v>
      </c>
      <c r="H184" s="47" t="s">
        <v>29</v>
      </c>
      <c r="I184" s="48" t="s">
        <v>30</v>
      </c>
      <c r="K184" s="32"/>
    </row>
    <row r="185" ht="12.75">
      <c r="K185" s="32"/>
    </row>
    <row r="186" spans="2:17" ht="12.75">
      <c r="B186" s="50">
        <v>0</v>
      </c>
      <c r="C186" s="50">
        <v>0</v>
      </c>
      <c r="D186" s="50">
        <v>0</v>
      </c>
      <c r="E186" s="51">
        <v>1</v>
      </c>
      <c r="F186" s="50">
        <f>SUM(B186*C186*D186*E186)</f>
        <v>0</v>
      </c>
      <c r="G186" s="50">
        <v>0</v>
      </c>
      <c r="H186" s="50">
        <f>SUM(F186:G186)</f>
        <v>0</v>
      </c>
      <c r="I186"/>
      <c r="J186"/>
      <c r="K186" s="52">
        <v>1</v>
      </c>
      <c r="L186" s="33" t="str">
        <f>'Materiálové hodnoty'!B41</f>
        <v>Penové sklo (dosky)</v>
      </c>
      <c r="O186" s="34">
        <f>SUM($I$190*'Materiálové hodnoty'!$E41*'Materiálové hodnoty'!J41*$K186)</f>
        <v>0</v>
      </c>
      <c r="P186" s="34">
        <f>SUM($I$190*'Materiálové hodnoty'!$E41*'Materiálové hodnoty'!K41*$K186)</f>
        <v>0</v>
      </c>
      <c r="Q186" s="34">
        <f>SUM($I$190*'Materiálové hodnoty'!$E41*'Materiálové hodnoty'!L41*$K186)</f>
        <v>0</v>
      </c>
    </row>
    <row r="187" spans="2:17" ht="12.75">
      <c r="B187" s="50">
        <v>0</v>
      </c>
      <c r="C187" s="50">
        <v>0</v>
      </c>
      <c r="D187" s="50">
        <v>0</v>
      </c>
      <c r="E187" s="51">
        <v>1</v>
      </c>
      <c r="F187" s="50">
        <f>SUM(B187*C187*D187*E187)</f>
        <v>0</v>
      </c>
      <c r="G187" s="50">
        <v>0</v>
      </c>
      <c r="H187" s="50">
        <f>SUM(F187:G187)</f>
        <v>0</v>
      </c>
      <c r="K187" s="52">
        <v>0</v>
      </c>
      <c r="L187" s="33" t="str">
        <f>'Materiálové hodnoty'!B42</f>
        <v>Purenit</v>
      </c>
      <c r="O187" s="34">
        <f>SUM($I$190*'Materiálové hodnoty'!$E42*'Materiálové hodnoty'!J42*$K187)</f>
        <v>0</v>
      </c>
      <c r="P187" s="34">
        <f>SUM($I$190*'Materiálové hodnoty'!$E42*'Materiálové hodnoty'!K42*$K187)</f>
        <v>0</v>
      </c>
      <c r="Q187" s="34">
        <f>SUM($I$190*'Materiálové hodnoty'!$E42*'Materiálové hodnoty'!L42*$K187)</f>
        <v>0</v>
      </c>
    </row>
    <row r="188" spans="2:17" ht="12.75">
      <c r="B188" s="50">
        <v>0</v>
      </c>
      <c r="C188" s="50">
        <v>0</v>
      </c>
      <c r="D188" s="50">
        <v>0</v>
      </c>
      <c r="E188" s="51">
        <v>1</v>
      </c>
      <c r="F188" s="50">
        <f>SUM(B188*C188*D188*E188)</f>
        <v>0</v>
      </c>
      <c r="G188" s="50">
        <v>0</v>
      </c>
      <c r="H188" s="50">
        <f>SUM(F188:G188)</f>
        <v>0</v>
      </c>
      <c r="K188" s="52">
        <v>0</v>
      </c>
      <c r="L188" s="33" t="str">
        <f>'Materiálové hodnoty'!B43</f>
        <v>Plynosilikát (Pórobetón)</v>
      </c>
      <c r="O188" s="34">
        <f>SUM($I$190*'Materiálové hodnoty'!$E43*'Materiálové hodnoty'!J43*$K188)</f>
        <v>0</v>
      </c>
      <c r="P188" s="34">
        <f>SUM($I$190*'Materiálové hodnoty'!$E43*'Materiálové hodnoty'!K43*$K188)</f>
        <v>0</v>
      </c>
      <c r="Q188" s="34">
        <f>SUM($I$190*'Materiálové hodnoty'!$E43*'Materiálové hodnoty'!L43*$K188)</f>
        <v>0</v>
      </c>
    </row>
    <row r="189" spans="2:17" ht="12.75">
      <c r="B189" s="50">
        <v>0</v>
      </c>
      <c r="C189" s="50">
        <v>0</v>
      </c>
      <c r="D189" s="50">
        <v>0</v>
      </c>
      <c r="E189" s="51">
        <v>1</v>
      </c>
      <c r="F189" s="50">
        <f>SUM(B189*C189*D189*E189)</f>
        <v>0</v>
      </c>
      <c r="G189" s="50">
        <v>0</v>
      </c>
      <c r="H189" s="50">
        <f>SUM(F189:G189)</f>
        <v>0</v>
      </c>
      <c r="K189" s="52">
        <v>0</v>
      </c>
      <c r="L189" s="33" t="str">
        <f>'Materiálové hodnoty'!B44</f>
        <v>Zakladacie vápennopieskové tehly (Kimmstein)</v>
      </c>
      <c r="O189" s="34">
        <f>SUM($I$190*'Materiálové hodnoty'!$E44*'Materiálové hodnoty'!J44*$K189)</f>
        <v>0</v>
      </c>
      <c r="P189" s="34">
        <f>SUM($I$190*'Materiálové hodnoty'!$E44*'Materiálové hodnoty'!K44*$K189)</f>
        <v>0</v>
      </c>
      <c r="Q189" s="34">
        <f>SUM($I$190*'Materiálové hodnoty'!$E44*'Materiálové hodnoty'!L44*$K189)</f>
        <v>0</v>
      </c>
    </row>
    <row r="190" spans="2:17" ht="12.75">
      <c r="B190" s="50">
        <v>0</v>
      </c>
      <c r="C190" s="50">
        <v>0</v>
      </c>
      <c r="D190" s="50">
        <v>0</v>
      </c>
      <c r="E190" s="51">
        <v>1</v>
      </c>
      <c r="F190" s="50">
        <f>SUM(B190*C190*D190*E190)</f>
        <v>0</v>
      </c>
      <c r="G190" s="50">
        <v>0</v>
      </c>
      <c r="H190" s="50">
        <f>SUM(F190:G190)</f>
        <v>0</v>
      </c>
      <c r="I190" s="31">
        <f>SUM(H182:H190)</f>
        <v>0</v>
      </c>
      <c r="J190" s="32" t="s">
        <v>31</v>
      </c>
      <c r="K190" s="52">
        <v>0</v>
      </c>
      <c r="L190" s="33" t="str">
        <f>'Materiálové hodnoty'!B45</f>
        <v>PUR dosky</v>
      </c>
      <c r="O190" s="34">
        <f>SUM($I$190*'Materiálové hodnoty'!$E45*'Materiálové hodnoty'!J45*$K190)</f>
        <v>0</v>
      </c>
      <c r="P190" s="34">
        <f>SUM($I$190*'Materiálové hodnoty'!$E45*'Materiálové hodnoty'!K45*$K190)</f>
        <v>0</v>
      </c>
      <c r="Q190" s="34">
        <f>SUM($I$190*'Materiálové hodnoty'!$E45*'Materiálové hodnoty'!L45*$K190)</f>
        <v>0</v>
      </c>
    </row>
    <row r="191" spans="5:17" s="18" customFormat="1" ht="12.75">
      <c r="E191" s="53"/>
      <c r="I191" s="32"/>
      <c r="J191" s="32"/>
      <c r="K191" s="32"/>
      <c r="L191" s="56"/>
      <c r="M191" s="56"/>
      <c r="N191" s="56"/>
      <c r="O191" s="57"/>
      <c r="P191" s="57"/>
      <c r="Q191" s="57"/>
    </row>
    <row r="192" spans="1:17" ht="12.75">
      <c r="A192" s="31" t="s">
        <v>83</v>
      </c>
      <c r="B192" s="47" t="s">
        <v>82</v>
      </c>
      <c r="C192" s="47" t="s">
        <v>61</v>
      </c>
      <c r="D192" s="47" t="s">
        <v>48</v>
      </c>
      <c r="E192" s="30" t="s">
        <v>26</v>
      </c>
      <c r="F192" s="47" t="s">
        <v>27</v>
      </c>
      <c r="G192" s="47" t="s">
        <v>28</v>
      </c>
      <c r="H192" s="47" t="s">
        <v>29</v>
      </c>
      <c r="I192" s="48" t="s">
        <v>30</v>
      </c>
      <c r="J192"/>
      <c r="K192" s="52">
        <v>1</v>
      </c>
      <c r="L192" s="33" t="str">
        <f>'Materiálové hodnoty'!B47</f>
        <v>EPS 20 (podlahový??)</v>
      </c>
      <c r="O192" s="34">
        <f>SUM($I$200*'Materiálové hodnoty'!$E47*'Materiálové hodnoty'!J47*$K192)</f>
        <v>0</v>
      </c>
      <c r="P192" s="34">
        <f>SUM($I$200*'Materiálové hodnoty'!$E47*'Materiálové hodnoty'!K47*$K192)</f>
        <v>0</v>
      </c>
      <c r="Q192" s="34">
        <f>SUM($I$200*'Materiálové hodnoty'!$E47*'Materiálové hodnoty'!L47*$K192)</f>
        <v>0</v>
      </c>
    </row>
    <row r="193" spans="1:17" ht="12.75">
      <c r="A193" s="59"/>
      <c r="E193"/>
      <c r="I193"/>
      <c r="J193"/>
      <c r="K193" s="52">
        <v>0</v>
      </c>
      <c r="L193" s="33" t="str">
        <f>'Materiálové hodnoty'!B48</f>
        <v>EPS 25</v>
      </c>
      <c r="O193" s="34">
        <f>SUM($I$200*'Materiálové hodnoty'!$E48*'Materiálové hodnoty'!J48*$K193)</f>
        <v>0</v>
      </c>
      <c r="P193" s="34">
        <f>SUM($I$211*'Materiálové hodnoty'!$E37*'Materiálové hodnoty'!K37*$K193)</f>
        <v>0</v>
      </c>
      <c r="Q193" s="34">
        <f>SUM($I$211*'Materiálové hodnoty'!$E37*'Materiálové hodnoty'!L37*$K193)</f>
        <v>0</v>
      </c>
    </row>
    <row r="194" spans="1:17" ht="12.75">
      <c r="A194" s="59"/>
      <c r="E194"/>
      <c r="I194"/>
      <c r="J194"/>
      <c r="K194" s="52">
        <v>0</v>
      </c>
      <c r="L194" s="33" t="str">
        <f>'Materiálové hodnoty'!B49</f>
        <v>Polystyrénbetón</v>
      </c>
      <c r="O194" s="34">
        <f>SUM($I$200*'Materiálové hodnoty'!$E49*'Materiálové hodnoty'!J49*$K194)</f>
        <v>0</v>
      </c>
      <c r="P194" s="34">
        <f>SUM($I$211*'Materiálové hodnoty'!$E38*'Materiálové hodnoty'!K38*$K194)</f>
        <v>0</v>
      </c>
      <c r="Q194" s="34">
        <f>SUM($I$211*'Materiálové hodnoty'!$E38*'Materiálové hodnoty'!L38*$K194)</f>
        <v>0</v>
      </c>
    </row>
    <row r="195" spans="1:17" ht="12.75">
      <c r="A195" s="59"/>
      <c r="E195"/>
      <c r="I195"/>
      <c r="J195"/>
      <c r="K195" s="52">
        <v>0</v>
      </c>
      <c r="L195" s="33" t="str">
        <f>'Materiálové hodnoty'!B50</f>
        <v>Perlit expandovaný hydrofobizovaný</v>
      </c>
      <c r="O195" s="34">
        <f>SUM($I$200*'Materiálové hodnoty'!$E50*'Materiálové hodnoty'!J50*$K195)</f>
        <v>0</v>
      </c>
      <c r="P195" s="34">
        <f>SUM($I$211*'Materiálové hodnoty'!$E39*'Materiálové hodnoty'!K39*$K195)</f>
        <v>0</v>
      </c>
      <c r="Q195" s="34">
        <f>SUM($I$211*'Materiálové hodnoty'!$E39*'Materiálové hodnoty'!L39*$K195)</f>
        <v>0</v>
      </c>
    </row>
    <row r="196" spans="1:17" ht="12.75">
      <c r="A196" s="59"/>
      <c r="B196" s="50">
        <v>0</v>
      </c>
      <c r="C196" s="50">
        <v>0</v>
      </c>
      <c r="D196" s="50">
        <v>0</v>
      </c>
      <c r="E196" s="51">
        <v>1</v>
      </c>
      <c r="F196" s="50">
        <f>SUM(B196*C196*D196*E196)</f>
        <v>0</v>
      </c>
      <c r="G196" s="50">
        <v>0</v>
      </c>
      <c r="H196" s="50">
        <f>SUM(F196:G196)</f>
        <v>0</v>
      </c>
      <c r="I196"/>
      <c r="J196"/>
      <c r="K196" s="52">
        <v>0</v>
      </c>
      <c r="L196" s="33" t="str">
        <f>'Materiálové hodnoty'!B51</f>
        <v>Sklená vata pochôdzna</v>
      </c>
      <c r="O196" s="34">
        <f>SUM($I$200*'Materiálové hodnoty'!$E51*'Materiálové hodnoty'!J51*$K196)</f>
        <v>0</v>
      </c>
      <c r="P196" s="34">
        <f>SUM($I$211*'Materiálové hodnoty'!$E40*'Materiálové hodnoty'!K40*$K196)</f>
        <v>0</v>
      </c>
      <c r="Q196" s="34">
        <f>SUM($I$211*'Materiálové hodnoty'!$E40*'Materiálové hodnoty'!L40*$K196)</f>
        <v>0</v>
      </c>
    </row>
    <row r="197" spans="2:17" ht="12.75">
      <c r="B197" s="50">
        <v>0</v>
      </c>
      <c r="C197" s="50">
        <v>0</v>
      </c>
      <c r="D197" s="50">
        <v>0</v>
      </c>
      <c r="E197" s="51">
        <v>1</v>
      </c>
      <c r="F197" s="50">
        <f>SUM(B197*C197*D197*E197)</f>
        <v>0</v>
      </c>
      <c r="G197" s="50">
        <v>0</v>
      </c>
      <c r="H197" s="50">
        <f>SUM(F197:G197)</f>
        <v>0</v>
      </c>
      <c r="K197" s="52">
        <v>0</v>
      </c>
      <c r="L197" s="33" t="str">
        <f>'Materiálové hodnoty'!B52</f>
        <v>Kamenná vata pochôdzna</v>
      </c>
      <c r="O197" s="34">
        <f>SUM($I$200*'Materiálové hodnoty'!$E52*'Materiálové hodnoty'!J52*$K197)</f>
        <v>0</v>
      </c>
      <c r="P197" s="34">
        <f>SUM($I$211*'Materiálové hodnoty'!$E41*'Materiálové hodnoty'!K41*$K197)</f>
        <v>0</v>
      </c>
      <c r="Q197" s="34">
        <f>SUM($I$211*'Materiálové hodnoty'!$E41*'Materiálové hodnoty'!L41*$K197)</f>
        <v>0</v>
      </c>
    </row>
    <row r="198" spans="2:17" ht="12.75">
      <c r="B198" s="50">
        <v>0</v>
      </c>
      <c r="C198" s="50">
        <v>0</v>
      </c>
      <c r="D198" s="50">
        <v>0</v>
      </c>
      <c r="E198" s="51">
        <v>1</v>
      </c>
      <c r="F198" s="50">
        <f>SUM(B198*C198*D198*E198)</f>
        <v>0</v>
      </c>
      <c r="G198" s="50">
        <v>0</v>
      </c>
      <c r="H198" s="50">
        <f>SUM(F198:G198)</f>
        <v>0</v>
      </c>
      <c r="K198" s="52">
        <v>0</v>
      </c>
      <c r="L198" s="33" t="str">
        <f>'Materiálové hodnoty'!B53</f>
        <v>XPS vypeňované HFC</v>
      </c>
      <c r="O198" s="34">
        <f>SUM($I$200*'Materiálové hodnoty'!$E53*'Materiálové hodnoty'!J53*$K198)</f>
        <v>0</v>
      </c>
      <c r="P198" s="34">
        <f>SUM($I$211*'Materiálové hodnoty'!$E42*'Materiálové hodnoty'!K42*$K198)</f>
        <v>0</v>
      </c>
      <c r="Q198" s="34">
        <f>SUM($I$211*'Materiálové hodnoty'!$E42*'Materiálové hodnoty'!L42*$K198)</f>
        <v>0</v>
      </c>
    </row>
    <row r="199" spans="2:17" ht="12.75">
      <c r="B199" s="50">
        <v>0</v>
      </c>
      <c r="C199" s="50">
        <v>0</v>
      </c>
      <c r="D199" s="50">
        <v>0</v>
      </c>
      <c r="E199" s="51">
        <v>1</v>
      </c>
      <c r="F199" s="50">
        <f>SUM(B199*C199*D199*E199)</f>
        <v>0</v>
      </c>
      <c r="G199" s="50">
        <v>0</v>
      </c>
      <c r="H199" s="50">
        <f>SUM(F199:G199)</f>
        <v>0</v>
      </c>
      <c r="K199" s="52">
        <v>0</v>
      </c>
      <c r="L199" s="33" t="str">
        <f>'Materiálové hodnoty'!B54</f>
        <v>XPS vypeňované CO2</v>
      </c>
      <c r="O199" s="34">
        <f>SUM($I$200*'Materiálové hodnoty'!$E54*'Materiálové hodnoty'!J54*$K199)</f>
        <v>0</v>
      </c>
      <c r="P199" s="34">
        <f>SUM($I$211*'Materiálové hodnoty'!$E43*'Materiálové hodnoty'!K43*$K199)</f>
        <v>0</v>
      </c>
      <c r="Q199" s="34">
        <f>SUM($I$211*'Materiálové hodnoty'!$E43*'Materiálové hodnoty'!L43*$K199)</f>
        <v>0</v>
      </c>
    </row>
    <row r="200" spans="2:17" ht="12.75">
      <c r="B200" s="50">
        <v>0</v>
      </c>
      <c r="C200" s="50">
        <v>0</v>
      </c>
      <c r="D200" s="50">
        <v>0</v>
      </c>
      <c r="E200" s="51">
        <v>1</v>
      </c>
      <c r="F200" s="50">
        <f>SUM(B200*C200*D200*E200)</f>
        <v>0</v>
      </c>
      <c r="G200" s="50">
        <v>0</v>
      </c>
      <c r="H200" s="50">
        <f>SUM(F200:G200)</f>
        <v>0</v>
      </c>
      <c r="I200" s="31">
        <f>SUM(H192:H200)</f>
        <v>0</v>
      </c>
      <c r="J200" s="32" t="s">
        <v>31</v>
      </c>
      <c r="K200" s="52">
        <v>0</v>
      </c>
      <c r="L200" s="33" t="str">
        <f>'Materiálové hodnoty'!B55</f>
        <v>Penové sklo (drvené a komprimované 1,3)</v>
      </c>
      <c r="O200" s="34">
        <f>SUM($I$200*'Materiálové hodnoty'!$E55*'Materiálové hodnoty'!J55*$K200)</f>
        <v>0</v>
      </c>
      <c r="P200" s="34">
        <f>SUM($I$211*'Materiálové hodnoty'!$E44*'Materiálové hodnoty'!K44*$K200)</f>
        <v>0</v>
      </c>
      <c r="Q200" s="34">
        <f>SUM($I$211*'Materiálové hodnoty'!$E44*'Materiálové hodnoty'!L44*$K200)</f>
        <v>0</v>
      </c>
    </row>
    <row r="201" spans="5:17" s="18" customFormat="1" ht="12.75">
      <c r="E201" s="53"/>
      <c r="I201" s="32"/>
      <c r="J201" s="32"/>
      <c r="K201" s="32"/>
      <c r="L201" s="56"/>
      <c r="M201" s="56"/>
      <c r="N201" s="56"/>
      <c r="O201" s="57"/>
      <c r="P201" s="57"/>
      <c r="Q201" s="57"/>
    </row>
    <row r="202" spans="1:11" ht="12.75">
      <c r="A202" s="31"/>
      <c r="B202" s="47"/>
      <c r="C202" s="47"/>
      <c r="D202" s="47"/>
      <c r="F202" s="47"/>
      <c r="G202" s="47"/>
      <c r="H202" s="47"/>
      <c r="I202" s="48"/>
      <c r="J202" s="49"/>
      <c r="K202" s="48"/>
    </row>
    <row r="203" spans="1:17" ht="12.75">
      <c r="A203" s="31" t="s">
        <v>67</v>
      </c>
      <c r="B203" s="47" t="s">
        <v>82</v>
      </c>
      <c r="C203" s="47" t="s">
        <v>61</v>
      </c>
      <c r="D203" s="47" t="s">
        <v>48</v>
      </c>
      <c r="E203" s="30" t="s">
        <v>26</v>
      </c>
      <c r="F203" s="47" t="s">
        <v>27</v>
      </c>
      <c r="G203" s="47" t="s">
        <v>28</v>
      </c>
      <c r="H203" s="47" t="s">
        <v>29</v>
      </c>
      <c r="I203" s="48" t="s">
        <v>30</v>
      </c>
      <c r="J203"/>
      <c r="K203" s="52">
        <v>1</v>
      </c>
      <c r="L203" s="33" t="str">
        <f>'Materiálové hodnoty'!B47</f>
        <v>EPS 20 (podlahový??)</v>
      </c>
      <c r="O203" s="34">
        <f>SUM($I$211*'Materiálové hodnoty'!$E47*'Materiálové hodnoty'!J47*$K203)</f>
        <v>0</v>
      </c>
      <c r="P203" s="34">
        <f>SUM($I$211*'Materiálové hodnoty'!$E47*'Materiálové hodnoty'!K47*$K203)</f>
        <v>0</v>
      </c>
      <c r="Q203" s="34">
        <f>SUM($I$211*'Materiálové hodnoty'!$E47*'Materiálové hodnoty'!L47*$K203)</f>
        <v>0</v>
      </c>
    </row>
    <row r="204" spans="1:17" ht="12.75">
      <c r="A204" s="59"/>
      <c r="E204"/>
      <c r="I204"/>
      <c r="J204"/>
      <c r="K204" s="52">
        <v>0</v>
      </c>
      <c r="L204" s="33" t="str">
        <f>'Materiálové hodnoty'!B48</f>
        <v>EPS 25</v>
      </c>
      <c r="O204" s="34">
        <f>SUM($I$211*'Materiálové hodnoty'!$E48*'Materiálové hodnoty'!J48*$K204)</f>
        <v>0</v>
      </c>
      <c r="P204" s="34">
        <f>SUM($I$211*'Materiálové hodnoty'!$E48*'Materiálové hodnoty'!K48*$K204)</f>
        <v>0</v>
      </c>
      <c r="Q204" s="34">
        <f>SUM($I$211*'Materiálové hodnoty'!$E48*'Materiálové hodnoty'!L48*$K204)</f>
        <v>0</v>
      </c>
    </row>
    <row r="205" spans="1:17" ht="12.75">
      <c r="A205" s="59"/>
      <c r="E205"/>
      <c r="I205"/>
      <c r="J205"/>
      <c r="K205" s="52">
        <v>0</v>
      </c>
      <c r="L205" s="33" t="str">
        <f>'Materiálové hodnoty'!B49</f>
        <v>Polystyrénbetón</v>
      </c>
      <c r="O205" s="34">
        <f>SUM($I$211*'Materiálové hodnoty'!$E49*'Materiálové hodnoty'!J49*$K205)</f>
        <v>0</v>
      </c>
      <c r="P205" s="34">
        <f>SUM($I$211*'Materiálové hodnoty'!$E49*'Materiálové hodnoty'!K49*$K205)</f>
        <v>0</v>
      </c>
      <c r="Q205" s="34">
        <f>SUM($I$211*'Materiálové hodnoty'!$E49*'Materiálové hodnoty'!L49*$K205)</f>
        <v>0</v>
      </c>
    </row>
    <row r="206" spans="1:17" ht="12.75">
      <c r="A206" s="59"/>
      <c r="E206"/>
      <c r="I206"/>
      <c r="J206"/>
      <c r="K206" s="52">
        <v>0</v>
      </c>
      <c r="L206" s="33" t="str">
        <f>'Materiálové hodnoty'!B50</f>
        <v>Perlit expandovaný hydrofobizovaný</v>
      </c>
      <c r="O206" s="34">
        <f>SUM($I$211*'Materiálové hodnoty'!$E50*'Materiálové hodnoty'!J50*$K206)</f>
        <v>0</v>
      </c>
      <c r="P206" s="34">
        <f>SUM($I$211*'Materiálové hodnoty'!$E50*'Materiálové hodnoty'!K50*$K206)</f>
        <v>0</v>
      </c>
      <c r="Q206" s="34">
        <f>SUM($I$211*'Materiálové hodnoty'!$E50*'Materiálové hodnoty'!L50*$K206)</f>
        <v>0</v>
      </c>
    </row>
    <row r="207" spans="1:17" ht="12.75">
      <c r="A207" s="59"/>
      <c r="B207" s="50">
        <v>0</v>
      </c>
      <c r="C207" s="50">
        <v>0</v>
      </c>
      <c r="D207" s="50">
        <v>0</v>
      </c>
      <c r="E207" s="51">
        <v>1</v>
      </c>
      <c r="F207" s="50">
        <f>SUM(B207*C207*D207*E207)</f>
        <v>0</v>
      </c>
      <c r="G207" s="50">
        <v>0</v>
      </c>
      <c r="H207" s="50">
        <f>SUM(F207:G207)</f>
        <v>0</v>
      </c>
      <c r="I207"/>
      <c r="J207"/>
      <c r="K207" s="52">
        <v>0</v>
      </c>
      <c r="L207" s="33" t="str">
        <f>'Materiálové hodnoty'!B51</f>
        <v>Sklená vata pochôdzna</v>
      </c>
      <c r="O207" s="34">
        <f>SUM($I$211*'Materiálové hodnoty'!$E51*'Materiálové hodnoty'!J51*$K207)</f>
        <v>0</v>
      </c>
      <c r="P207" s="34">
        <f>SUM($I$211*'Materiálové hodnoty'!$E51*'Materiálové hodnoty'!K51*$K207)</f>
        <v>0</v>
      </c>
      <c r="Q207" s="34">
        <f>SUM($I$211*'Materiálové hodnoty'!$E51*'Materiálové hodnoty'!L51*$K207)</f>
        <v>0</v>
      </c>
    </row>
    <row r="208" spans="2:17" ht="12.75">
      <c r="B208" s="50">
        <v>0</v>
      </c>
      <c r="C208" s="50">
        <v>0</v>
      </c>
      <c r="D208" s="50">
        <v>0</v>
      </c>
      <c r="E208" s="51">
        <v>1</v>
      </c>
      <c r="F208" s="50">
        <f>SUM(B208*C208*D208*E208)</f>
        <v>0</v>
      </c>
      <c r="G208" s="50">
        <v>0</v>
      </c>
      <c r="H208" s="50">
        <f>SUM(F208:G208)</f>
        <v>0</v>
      </c>
      <c r="K208" s="52">
        <v>0</v>
      </c>
      <c r="L208" s="33" t="str">
        <f>'Materiálové hodnoty'!B52</f>
        <v>Kamenná vata pochôdzna</v>
      </c>
      <c r="O208" s="34">
        <f>SUM($I$211*'Materiálové hodnoty'!$E52*'Materiálové hodnoty'!J52*$K208)</f>
        <v>0</v>
      </c>
      <c r="P208" s="34">
        <f>SUM($I$211*'Materiálové hodnoty'!$E52*'Materiálové hodnoty'!K52*$K208)</f>
        <v>0</v>
      </c>
      <c r="Q208" s="34">
        <f>SUM($I$211*'Materiálové hodnoty'!$E52*'Materiálové hodnoty'!L52*$K208)</f>
        <v>0</v>
      </c>
    </row>
    <row r="209" spans="2:17" ht="12.75">
      <c r="B209" s="50">
        <v>0</v>
      </c>
      <c r="C209" s="50">
        <v>0</v>
      </c>
      <c r="D209" s="50">
        <v>0</v>
      </c>
      <c r="E209" s="51">
        <v>1</v>
      </c>
      <c r="F209" s="50">
        <f>SUM(B209*C209*D209*E209)</f>
        <v>0</v>
      </c>
      <c r="G209" s="50">
        <v>0</v>
      </c>
      <c r="H209" s="50">
        <f>SUM(F209:G209)</f>
        <v>0</v>
      </c>
      <c r="K209" s="52">
        <v>0</v>
      </c>
      <c r="L209" s="33" t="str">
        <f>'Materiálové hodnoty'!B53</f>
        <v>XPS vypeňované HFC</v>
      </c>
      <c r="O209" s="34">
        <f>SUM($I$211*'Materiálové hodnoty'!$E53*'Materiálové hodnoty'!J53*$K209)</f>
        <v>0</v>
      </c>
      <c r="P209" s="34">
        <f>SUM($I$211*'Materiálové hodnoty'!$E53*'Materiálové hodnoty'!K53*$K209)</f>
        <v>0</v>
      </c>
      <c r="Q209" s="34">
        <f>SUM($I$211*'Materiálové hodnoty'!$E53*'Materiálové hodnoty'!L53*$K209)</f>
        <v>0</v>
      </c>
    </row>
    <row r="210" spans="2:17" ht="12.75">
      <c r="B210" s="50">
        <v>0</v>
      </c>
      <c r="C210" s="50">
        <v>0</v>
      </c>
      <c r="D210" s="50">
        <v>0</v>
      </c>
      <c r="E210" s="51">
        <v>1</v>
      </c>
      <c r="F210" s="50">
        <f>SUM(B210*C210*D210*E210)</f>
        <v>0</v>
      </c>
      <c r="G210" s="50">
        <v>0</v>
      </c>
      <c r="H210" s="50">
        <f>SUM(F210:G210)</f>
        <v>0</v>
      </c>
      <c r="K210" s="52">
        <v>0</v>
      </c>
      <c r="L210" s="33" t="str">
        <f>'Materiálové hodnoty'!B54</f>
        <v>XPS vypeňované CO2</v>
      </c>
      <c r="O210" s="34">
        <f>SUM($I$211*'Materiálové hodnoty'!$E54*'Materiálové hodnoty'!J54*$K210)</f>
        <v>0</v>
      </c>
      <c r="P210" s="34">
        <f>SUM($I$211*'Materiálové hodnoty'!$E54*'Materiálové hodnoty'!K54*$K210)</f>
        <v>0</v>
      </c>
      <c r="Q210" s="34">
        <f>SUM($I$211*'Materiálové hodnoty'!$E54*'Materiálové hodnoty'!L54*$K210)</f>
        <v>0</v>
      </c>
    </row>
    <row r="211" spans="2:17" ht="12.75">
      <c r="B211" s="50">
        <v>0</v>
      </c>
      <c r="C211" s="50">
        <v>0</v>
      </c>
      <c r="D211" s="50">
        <v>0</v>
      </c>
      <c r="E211" s="51">
        <v>1</v>
      </c>
      <c r="F211" s="50">
        <f>SUM(B211*C211*D211*E211)</f>
        <v>0</v>
      </c>
      <c r="G211" s="50">
        <v>0</v>
      </c>
      <c r="H211" s="50">
        <f>SUM(F211:G211)</f>
        <v>0</v>
      </c>
      <c r="I211" s="31">
        <f>SUM(H203:H211)</f>
        <v>0</v>
      </c>
      <c r="J211" s="32" t="s">
        <v>31</v>
      </c>
      <c r="K211" s="52">
        <v>0</v>
      </c>
      <c r="L211" s="33" t="str">
        <f>'Materiálové hodnoty'!B55</f>
        <v>Penové sklo (drvené a komprimované 1,3)</v>
      </c>
      <c r="O211" s="34">
        <f>SUM($I$211*'Materiálové hodnoty'!$E55*'Materiálové hodnoty'!J55*$K211)</f>
        <v>0</v>
      </c>
      <c r="P211" s="34">
        <f>SUM($I$211*'Materiálové hodnoty'!$E55*'Materiálové hodnoty'!K55*$K211)</f>
        <v>0</v>
      </c>
      <c r="Q211" s="34">
        <f>SUM($I$211*'Materiálové hodnoty'!$E55*'Materiálové hodnoty'!L55*$K211)</f>
        <v>0</v>
      </c>
    </row>
    <row r="212" spans="2:18" ht="12.75">
      <c r="B212" s="18"/>
      <c r="C212" s="18"/>
      <c r="D212" s="18"/>
      <c r="E212" s="53"/>
      <c r="F212" s="18"/>
      <c r="G212" s="18"/>
      <c r="H212" s="18"/>
      <c r="I212" s="32"/>
      <c r="K212" s="32"/>
      <c r="L212" s="56"/>
      <c r="M212" s="56"/>
      <c r="N212" s="56"/>
      <c r="O212" s="57"/>
      <c r="P212" s="57"/>
      <c r="Q212" s="57"/>
      <c r="R212" s="18"/>
    </row>
    <row r="213" spans="1:18" ht="12.75">
      <c r="A213" s="31" t="s">
        <v>84</v>
      </c>
      <c r="B213" s="47" t="s">
        <v>82</v>
      </c>
      <c r="C213" s="47" t="s">
        <v>61</v>
      </c>
      <c r="D213" s="47" t="s">
        <v>48</v>
      </c>
      <c r="E213" s="30" t="s">
        <v>26</v>
      </c>
      <c r="F213" s="47" t="s">
        <v>27</v>
      </c>
      <c r="G213" s="47" t="s">
        <v>28</v>
      </c>
      <c r="H213" s="47" t="s">
        <v>29</v>
      </c>
      <c r="I213" s="48" t="s">
        <v>30</v>
      </c>
      <c r="J213" s="49"/>
      <c r="K213" s="52">
        <v>1</v>
      </c>
      <c r="L213" s="33" t="str">
        <f>'Materiálové hodnoty'!B57</f>
        <v>EPS fasádny</v>
      </c>
      <c r="O213" s="34">
        <f>SUM($I$219*'Materiálové hodnoty'!$E57*'Materiálové hodnoty'!J57*$K213)</f>
        <v>0</v>
      </c>
      <c r="P213" s="34">
        <f>SUM($I$219*'Materiálové hodnoty'!$E57*'Materiálové hodnoty'!K57*$K213)</f>
        <v>0</v>
      </c>
      <c r="Q213" s="34">
        <f>SUM($I$219*'Materiálové hodnoty'!$E57*'Materiálové hodnoty'!L57*$K213)</f>
        <v>0</v>
      </c>
      <c r="R213" s="18"/>
    </row>
    <row r="214" spans="1:18" ht="12.75">
      <c r="A214" s="59"/>
      <c r="E214"/>
      <c r="I214"/>
      <c r="J214"/>
      <c r="K214" s="52">
        <v>0</v>
      </c>
      <c r="L214" s="33" t="str">
        <f>'Materiálové hodnoty'!B58</f>
        <v>EPS s grafitom</v>
      </c>
      <c r="O214" s="34">
        <f>SUM($I$219*'Materiálové hodnoty'!$E58*'Materiálové hodnoty'!J58*$K214)</f>
        <v>0</v>
      </c>
      <c r="P214" s="34">
        <f>SUM($I$219*'Materiálové hodnoty'!$E58*'Materiálové hodnoty'!K58*$K214)</f>
        <v>0</v>
      </c>
      <c r="Q214" s="34">
        <f>SUM($I$219*'Materiálové hodnoty'!$E58*'Materiálové hodnoty'!L58*$K214)</f>
        <v>0</v>
      </c>
      <c r="R214" s="18"/>
    </row>
    <row r="215" spans="1:18" ht="12.75">
      <c r="A215" s="59"/>
      <c r="B215" s="50">
        <v>0</v>
      </c>
      <c r="C215" s="50">
        <v>1</v>
      </c>
      <c r="D215" s="50">
        <v>0.32</v>
      </c>
      <c r="E215" s="51">
        <v>1</v>
      </c>
      <c r="F215" s="50">
        <f>SUM(B215*C215*D215*E215)</f>
        <v>0</v>
      </c>
      <c r="G215" s="50">
        <v>0</v>
      </c>
      <c r="H215" s="50">
        <f>SUM(F215:G215)</f>
        <v>0</v>
      </c>
      <c r="I215"/>
      <c r="J215"/>
      <c r="K215" s="52">
        <v>0</v>
      </c>
      <c r="L215" s="33" t="str">
        <f>'Materiálové hodnoty'!B59</f>
        <v>Sklená vata fasádna</v>
      </c>
      <c r="O215" s="34">
        <f>SUM($I$219*'Materiálové hodnoty'!$E59*'Materiálové hodnoty'!J59*$K215)</f>
        <v>0</v>
      </c>
      <c r="P215" s="34">
        <f>SUM($I$219*'Materiálové hodnoty'!$E59*'Materiálové hodnoty'!K59*$K215)</f>
        <v>0</v>
      </c>
      <c r="Q215" s="34">
        <f>SUM($I$219*'Materiálové hodnoty'!$E59*'Materiálové hodnoty'!L59*$K215)</f>
        <v>0</v>
      </c>
      <c r="R215" s="18"/>
    </row>
    <row r="216" spans="1:18" ht="12.75">
      <c r="A216" s="59"/>
      <c r="B216" s="50">
        <v>0</v>
      </c>
      <c r="C216" s="50">
        <v>0</v>
      </c>
      <c r="D216" s="50">
        <v>0</v>
      </c>
      <c r="E216" s="51">
        <v>1</v>
      </c>
      <c r="F216" s="50">
        <f>SUM(B216*C216*D216*E216)</f>
        <v>0</v>
      </c>
      <c r="G216" s="50">
        <v>0</v>
      </c>
      <c r="H216" s="50">
        <f>SUM(F216:G216)</f>
        <v>0</v>
      </c>
      <c r="K216" s="52">
        <v>0</v>
      </c>
      <c r="L216" s="33" t="str">
        <f>'Materiálové hodnoty'!B60</f>
        <v>Kamenná vlna fasádna</v>
      </c>
      <c r="O216" s="34">
        <f>SUM($I$219*'Materiálové hodnoty'!$E60*'Materiálové hodnoty'!J60*$K216)</f>
        <v>0</v>
      </c>
      <c r="P216" s="34">
        <f>SUM($I$219*'Materiálové hodnoty'!$E60*'Materiálové hodnoty'!K60*$K216)</f>
        <v>0</v>
      </c>
      <c r="Q216" s="34">
        <f>SUM($I$219*'Materiálové hodnoty'!$E60*'Materiálové hodnoty'!L60*$K216)</f>
        <v>0</v>
      </c>
      <c r="R216" s="18"/>
    </row>
    <row r="217" spans="1:18" ht="12.75">
      <c r="A217" s="59"/>
      <c r="B217" s="50">
        <v>0</v>
      </c>
      <c r="C217" s="50">
        <v>0</v>
      </c>
      <c r="D217" s="50">
        <v>0</v>
      </c>
      <c r="E217" s="51">
        <v>1</v>
      </c>
      <c r="F217" s="50">
        <f>SUM(B217*C217*D217*E217)</f>
        <v>0</v>
      </c>
      <c r="G217" s="50">
        <v>0</v>
      </c>
      <c r="H217" s="50">
        <f>SUM(F217:G217)</f>
        <v>0</v>
      </c>
      <c r="K217" s="52">
        <v>0</v>
      </c>
      <c r="L217" s="33" t="str">
        <f>'Materiálové hodnoty'!B61</f>
        <v>Minerálna pena</v>
      </c>
      <c r="O217" s="34">
        <f>SUM($I$219*'Materiálové hodnoty'!$E61*'Materiálové hodnoty'!J61*$K217)</f>
        <v>0</v>
      </c>
      <c r="P217" s="34">
        <f>SUM($I$219*'Materiálové hodnoty'!$E61*'Materiálové hodnoty'!K61*$K217)</f>
        <v>0</v>
      </c>
      <c r="Q217" s="34">
        <f>SUM($I$219*'Materiálové hodnoty'!$E61*'Materiálové hodnoty'!L61*$K217)</f>
        <v>0</v>
      </c>
      <c r="R217" s="18"/>
    </row>
    <row r="218" spans="1:18" ht="12.75">
      <c r="A218" s="59"/>
      <c r="B218" s="50">
        <v>0</v>
      </c>
      <c r="C218" s="50">
        <v>0</v>
      </c>
      <c r="D218" s="50">
        <v>0</v>
      </c>
      <c r="E218" s="51">
        <v>1</v>
      </c>
      <c r="F218" s="50">
        <f>SUM(B218*C218*D218*E218)</f>
        <v>0</v>
      </c>
      <c r="G218" s="50">
        <v>0</v>
      </c>
      <c r="H218" s="50">
        <f>SUM(F218:G218)</f>
        <v>0</v>
      </c>
      <c r="K218" s="52">
        <v>0</v>
      </c>
      <c r="L218" s="33" t="str">
        <f>'Materiálové hodnoty'!B62</f>
        <v>Vákuová izolácia</v>
      </c>
      <c r="O218" s="34">
        <f>SUM($I$219*'Materiálové hodnoty'!$E62*'Materiálové hodnoty'!J62*$K218)</f>
        <v>0</v>
      </c>
      <c r="P218" s="34">
        <f>SUM($I$219*'Materiálové hodnoty'!$E62*'Materiálové hodnoty'!K62*$K218)</f>
        <v>0</v>
      </c>
      <c r="Q218" s="34">
        <f>SUM($I$219*'Materiálové hodnoty'!$E62*'Materiálové hodnoty'!L62*$K218)</f>
        <v>0</v>
      </c>
      <c r="R218" s="18"/>
    </row>
    <row r="219" spans="2:18" ht="12.75">
      <c r="B219" s="50">
        <v>0</v>
      </c>
      <c r="C219" s="50">
        <v>0</v>
      </c>
      <c r="D219" s="50">
        <v>0</v>
      </c>
      <c r="E219" s="51">
        <v>1</v>
      </c>
      <c r="F219" s="50">
        <f>SUM(B219*C219*D219*E219)</f>
        <v>0</v>
      </c>
      <c r="G219" s="50">
        <v>0</v>
      </c>
      <c r="H219" s="50">
        <f>SUM(F219:G219)</f>
        <v>0</v>
      </c>
      <c r="I219" s="31">
        <f>SUM(H214:H222)</f>
        <v>0</v>
      </c>
      <c r="J219" s="32" t="s">
        <v>31</v>
      </c>
      <c r="K219" s="52">
        <v>0</v>
      </c>
      <c r="L219" s="33" t="str">
        <f>'Materiálové hodnoty'!B63</f>
        <v>Korok</v>
      </c>
      <c r="O219" s="34">
        <f>SUM($I$219*'Materiálové hodnoty'!$E63*'Materiálové hodnoty'!J63*$K219)</f>
        <v>0</v>
      </c>
      <c r="P219" s="34">
        <f>SUM($I$219*'Materiálové hodnoty'!$E63*'Materiálové hodnoty'!K63*$K219)</f>
        <v>0</v>
      </c>
      <c r="Q219" s="34">
        <f>SUM($I$219*'Materiálové hodnoty'!$E63*'Materiálové hodnoty'!L63*$K219)</f>
        <v>0</v>
      </c>
      <c r="R219" s="18"/>
    </row>
    <row r="220" spans="5:18" ht="12.75" hidden="1">
      <c r="E220"/>
      <c r="I220"/>
      <c r="J220"/>
      <c r="K220" s="52">
        <v>0</v>
      </c>
      <c r="L220" s="33" t="str">
        <f>'Materiálové hodnoty'!B64</f>
        <v>Izolácia dutín</v>
      </c>
      <c r="O220" s="34">
        <f>SUM($I$101*'Materiálové hodnoty'!$E101*'Materiálové hodnoty'!J101*$K220)</f>
        <v>0</v>
      </c>
      <c r="P220" s="34">
        <f>SUM($I$101*'Materiálové hodnoty'!$E101*'Materiálové hodnoty'!K101*$K220)</f>
        <v>0</v>
      </c>
      <c r="Q220" s="34">
        <f>SUM($I$101*'Materiálové hodnoty'!$E101*'Materiálové hodnoty'!L101*$K220)</f>
        <v>0</v>
      </c>
      <c r="R220" s="18"/>
    </row>
    <row r="221" spans="5:17" ht="12.75" hidden="1">
      <c r="E221"/>
      <c r="I221"/>
      <c r="J221"/>
      <c r="K221" s="52">
        <v>0</v>
      </c>
      <c r="L221" s="33" t="str">
        <f>'Materiálové hodnoty'!B65</f>
        <v>Sklená vata</v>
      </c>
      <c r="O221" s="34">
        <f>SUM($I$101*'Materiálové hodnoty'!$E102*'Materiálové hodnoty'!J102*$K221)</f>
        <v>0</v>
      </c>
      <c r="P221" s="34">
        <f>SUM($I$101*'Materiálové hodnoty'!$E102*'Materiálové hodnoty'!K102*$K221)</f>
        <v>0</v>
      </c>
      <c r="Q221" s="34">
        <f>SUM($I$101*'Materiálové hodnoty'!$E102*'Materiálové hodnoty'!L102*$K221)</f>
        <v>0</v>
      </c>
    </row>
    <row r="222" spans="5:10" ht="12.75">
      <c r="E222"/>
      <c r="I222"/>
      <c r="J222"/>
    </row>
    <row r="223" spans="1:17" ht="12.75">
      <c r="A223" s="31" t="s">
        <v>85</v>
      </c>
      <c r="B223" s="47" t="s">
        <v>82</v>
      </c>
      <c r="C223" s="47" t="s">
        <v>61</v>
      </c>
      <c r="D223" s="47" t="s">
        <v>48</v>
      </c>
      <c r="E223" s="30" t="s">
        <v>26</v>
      </c>
      <c r="F223" s="47" t="s">
        <v>27</v>
      </c>
      <c r="G223" s="47" t="s">
        <v>28</v>
      </c>
      <c r="H223" s="47" t="s">
        <v>29</v>
      </c>
      <c r="I223" s="48" t="s">
        <v>30</v>
      </c>
      <c r="J223"/>
      <c r="K223" s="52">
        <v>0</v>
      </c>
      <c r="L223" s="33" t="str">
        <f>'Materiálové hodnoty'!B65</f>
        <v>Sklená vata</v>
      </c>
      <c r="O223" s="34">
        <f>SUM($I$234*'Materiálové hodnoty'!$E65*'Materiálové hodnoty'!J65*$K223)</f>
        <v>0</v>
      </c>
      <c r="P223" s="34">
        <f>SUM($I$234*'Materiálové hodnoty'!$E65*'Materiálové hodnoty'!K65*$K223)</f>
        <v>0</v>
      </c>
      <c r="Q223" s="34">
        <f>SUM($I$234*'Materiálové hodnoty'!$E65*'Materiálové hodnoty'!L65*$K223)</f>
        <v>0</v>
      </c>
    </row>
    <row r="224" spans="5:17" ht="12.75">
      <c r="E224"/>
      <c r="I224"/>
      <c r="J224"/>
      <c r="K224" s="52">
        <v>0</v>
      </c>
      <c r="L224" s="33" t="str">
        <f>'Materiálové hodnoty'!B66</f>
        <v>Minerálna vlna</v>
      </c>
      <c r="O224" s="34">
        <f>SUM($I$234*'Materiálové hodnoty'!$E66*'Materiálové hodnoty'!J66*$K224)</f>
        <v>0</v>
      </c>
      <c r="P224" s="34">
        <f>SUM($I$234*'Materiálové hodnoty'!$E66*'Materiálové hodnoty'!K66*$K224)</f>
        <v>0</v>
      </c>
      <c r="Q224" s="34">
        <f>SUM($I$234*'Materiálové hodnoty'!$E66*'Materiálové hodnoty'!L66*$K224)</f>
        <v>0</v>
      </c>
    </row>
    <row r="225" spans="5:17" ht="12.75">
      <c r="E225"/>
      <c r="I225"/>
      <c r="K225" s="52">
        <v>0</v>
      </c>
      <c r="L225" s="33" t="str">
        <f>'Materiálové hodnoty'!B67</f>
        <v>Minerálna vlna fúkaná</v>
      </c>
      <c r="O225" s="34">
        <f>SUM($I$234*'Materiálové hodnoty'!$E67*'Materiálové hodnoty'!J67*$K225)</f>
        <v>0</v>
      </c>
      <c r="P225" s="34">
        <f>SUM($I$234*'Materiálové hodnoty'!$E67*'Materiálové hodnoty'!K67*$K225)</f>
        <v>0</v>
      </c>
      <c r="Q225" s="34">
        <f>SUM($I$234*'Materiálové hodnoty'!$E67*'Materiálové hodnoty'!L67*$K225)</f>
        <v>0</v>
      </c>
    </row>
    <row r="226" spans="11:17" ht="12.75">
      <c r="K226" s="52">
        <v>0</v>
      </c>
      <c r="L226" s="33" t="str">
        <f>'Materiálové hodnoty'!B68</f>
        <v>Perlit expandovaný sypaný</v>
      </c>
      <c r="O226" s="34">
        <f>SUM($I$234*'Materiálové hodnoty'!$E68*'Materiálové hodnoty'!J68*$K226)</f>
        <v>0</v>
      </c>
      <c r="P226" s="34">
        <f>SUM($I$234*'Materiálové hodnoty'!$E68*'Materiálové hodnoty'!K68*$K226)</f>
        <v>0</v>
      </c>
      <c r="Q226" s="34">
        <f>SUM($I$234*'Materiálové hodnoty'!$E68*'Materiálové hodnoty'!L68*$K226)</f>
        <v>0</v>
      </c>
    </row>
    <row r="227" spans="11:17" ht="12.75">
      <c r="K227" s="52">
        <v>0</v>
      </c>
      <c r="L227" s="33" t="str">
        <f>'Materiálové hodnoty'!B70</f>
        <v>Celulóza (voľná)</v>
      </c>
      <c r="O227" s="34">
        <f>SUM($I$234*'Materiálové hodnoty'!$E70*'Materiálové hodnoty'!J70*$K227)</f>
        <v>0</v>
      </c>
      <c r="P227" s="34">
        <f>SUM($I$234*'Materiálové hodnoty'!$E70*'Materiálové hodnoty'!K70*$K227)</f>
        <v>0</v>
      </c>
      <c r="Q227" s="34">
        <f>SUM($I$234*'Materiálové hodnoty'!$E70*'Materiálové hodnoty'!L70*$K227)</f>
        <v>0</v>
      </c>
    </row>
    <row r="228" spans="5:17" ht="12.75">
      <c r="E228"/>
      <c r="I228"/>
      <c r="J228" s="49"/>
      <c r="K228" s="52">
        <f>SUM(H231/I234)</f>
        <v>0.2939068100358423</v>
      </c>
      <c r="L228" s="33" t="str">
        <f>'Materiálové hodnoty'!B71</f>
        <v>Celulóza (Strecha – sklon do 30°)</v>
      </c>
      <c r="O228" s="34">
        <f>SUM($I$234*'Materiálové hodnoty'!$E71*'Materiálové hodnoty'!J71*$K228)</f>
        <v>14411.5</v>
      </c>
      <c r="P228" s="34">
        <f>SUM($I$234*'Materiálové hodnoty'!$E71*'Materiálové hodnoty'!K71*$K228)</f>
        <v>-1859.35</v>
      </c>
      <c r="Q228" s="34">
        <f>SUM($I$234*'Materiálové hodnoty'!$E71*'Materiálové hodnoty'!L71*$K228)</f>
        <v>6.990500000000001</v>
      </c>
    </row>
    <row r="229" spans="1:17" ht="12.75">
      <c r="A229" s="59"/>
      <c r="E229"/>
      <c r="I229"/>
      <c r="J229"/>
      <c r="K229" s="52">
        <f>SUM(H230/I234)</f>
        <v>0.7060931899641577</v>
      </c>
      <c r="L229" s="33" t="str">
        <f>'Materiálové hodnoty'!B72</f>
        <v>Celulóza (Steny – sklon od 30°)</v>
      </c>
      <c r="O229" s="34">
        <f>SUM($I$234*'Materiálové hodnoty'!$E72*'Materiálové hodnoty'!J72*$K229)</f>
        <v>45009.575000000004</v>
      </c>
      <c r="P229" s="34">
        <f>SUM($I$234*'Materiálové hodnoty'!$E72*'Materiálové hodnoty'!K72*$K229)</f>
        <v>-5807.0675</v>
      </c>
      <c r="Q229" s="34">
        <f>SUM($I$234*'Materiálové hodnoty'!$E72*'Materiálové hodnoty'!L72*$K229)</f>
        <v>21.832525000000004</v>
      </c>
    </row>
    <row r="230" spans="1:17" ht="12.75">
      <c r="A230" s="59"/>
      <c r="B230" s="50">
        <v>0</v>
      </c>
      <c r="C230" s="50">
        <v>0</v>
      </c>
      <c r="D230" s="50">
        <v>0</v>
      </c>
      <c r="E230" s="51">
        <v>1</v>
      </c>
      <c r="F230" s="50">
        <f>SUM(B230*C230*D230*E230)</f>
        <v>0</v>
      </c>
      <c r="G230" s="50">
        <v>98.5</v>
      </c>
      <c r="H230" s="50">
        <f>SUM(F230:G230)</f>
        <v>98.5</v>
      </c>
      <c r="I230"/>
      <c r="J230"/>
      <c r="K230" s="52">
        <v>0</v>
      </c>
      <c r="L230" s="33" t="str">
        <f>'Materiálové hodnoty'!B73</f>
        <v>Konopné rohože s PE vláknami</v>
      </c>
      <c r="O230" s="34">
        <f>SUM($I$234*'Materiálové hodnoty'!$E73*'Materiálové hodnoty'!J73*$K230)</f>
        <v>0</v>
      </c>
      <c r="P230" s="34">
        <f>SUM($I$234*'Materiálové hodnoty'!$E73*'Materiálové hodnoty'!K73*$K230)</f>
        <v>0</v>
      </c>
      <c r="Q230" s="34">
        <f>SUM($I$234*'Materiálové hodnoty'!$E73*'Materiálové hodnoty'!L73*$K230)</f>
        <v>0</v>
      </c>
    </row>
    <row r="231" spans="1:17" ht="12.75">
      <c r="A231" s="59"/>
      <c r="B231" s="50">
        <v>0</v>
      </c>
      <c r="C231" s="50">
        <v>0</v>
      </c>
      <c r="D231" s="50">
        <v>0</v>
      </c>
      <c r="E231" s="51">
        <v>1</v>
      </c>
      <c r="F231" s="50">
        <f>SUM(B231*C231*D231*E231)</f>
        <v>0</v>
      </c>
      <c r="G231" s="50">
        <v>41</v>
      </c>
      <c r="H231" s="50">
        <f>SUM(F231:G231)</f>
        <v>41</v>
      </c>
      <c r="K231" s="52">
        <v>0</v>
      </c>
      <c r="L231" s="33" t="str">
        <f>'Materiálové hodnoty'!B74</f>
        <v>Konopné rohože bez PE vlákien</v>
      </c>
      <c r="O231" s="34">
        <f>SUM($I$234*'Materiálové hodnoty'!$E74*'Materiálové hodnoty'!J74*$K231)</f>
        <v>0</v>
      </c>
      <c r="P231" s="34">
        <f>SUM($I$234*'Materiálové hodnoty'!$E74*'Materiálové hodnoty'!K74*$K231)</f>
        <v>0</v>
      </c>
      <c r="Q231" s="34">
        <f>SUM($I$234*'Materiálové hodnoty'!$E74*'Materiálové hodnoty'!L74*$K231)</f>
        <v>0</v>
      </c>
    </row>
    <row r="232" spans="1:17" ht="12.75">
      <c r="A232" s="59"/>
      <c r="B232" s="50">
        <v>0</v>
      </c>
      <c r="C232" s="50">
        <v>0</v>
      </c>
      <c r="D232" s="50">
        <v>0</v>
      </c>
      <c r="E232" s="51">
        <v>1</v>
      </c>
      <c r="F232" s="50">
        <f>SUM(B232*C232*D232*E232)</f>
        <v>0</v>
      </c>
      <c r="G232" s="50">
        <v>0</v>
      </c>
      <c r="H232" s="50">
        <f>SUM(F232:G232)</f>
        <v>0</v>
      </c>
      <c r="K232" s="52">
        <v>0</v>
      </c>
      <c r="L232" s="33" t="str">
        <f>'Materiálové hodnoty'!B75</f>
        <v>Ľanové rohože s PE vláknami</v>
      </c>
      <c r="O232" s="34">
        <f>SUM($I$234*'Materiálové hodnoty'!$E75*'Materiálové hodnoty'!J75*$K232)</f>
        <v>0</v>
      </c>
      <c r="P232" s="34">
        <f>SUM($I$234*'Materiálové hodnoty'!$E75*'Materiálové hodnoty'!K75*$K232)</f>
        <v>0</v>
      </c>
      <c r="Q232" s="34">
        <f>SUM($I$234*'Materiálové hodnoty'!$E75*'Materiálové hodnoty'!L75*$K232)</f>
        <v>0</v>
      </c>
    </row>
    <row r="233" spans="1:17" ht="12.75">
      <c r="A233" s="59"/>
      <c r="B233" s="50">
        <v>0</v>
      </c>
      <c r="C233" s="50">
        <v>0</v>
      </c>
      <c r="D233" s="50">
        <v>0</v>
      </c>
      <c r="E233" s="51">
        <v>1</v>
      </c>
      <c r="F233" s="50">
        <f>SUM(B233*C233*D233*E233)</f>
        <v>0</v>
      </c>
      <c r="G233" s="50">
        <v>0</v>
      </c>
      <c r="H233" s="50">
        <f>SUM(F233:G233)</f>
        <v>0</v>
      </c>
      <c r="K233" s="52">
        <v>0</v>
      </c>
      <c r="L233" s="33" t="str">
        <f>'Materiálové hodnoty'!B76</f>
        <v>Ľanové rohože bez PE vlákien</v>
      </c>
      <c r="O233" s="34">
        <f>SUM($I$234*'Materiálové hodnoty'!$E76*'Materiálové hodnoty'!J76*$K233)</f>
        <v>0</v>
      </c>
      <c r="P233" s="34">
        <f>SUM($I$234*'Materiálové hodnoty'!$E76*'Materiálové hodnoty'!K76*$K233)</f>
        <v>0</v>
      </c>
      <c r="Q233" s="34">
        <f>SUM($I$234*'Materiálové hodnoty'!$E76*'Materiálové hodnoty'!L76*$K233)</f>
        <v>0</v>
      </c>
    </row>
    <row r="234" spans="2:17" ht="12.75">
      <c r="B234" s="50">
        <v>0</v>
      </c>
      <c r="C234" s="50">
        <v>0</v>
      </c>
      <c r="D234" s="50">
        <v>0</v>
      </c>
      <c r="E234" s="51">
        <v>1</v>
      </c>
      <c r="F234" s="50">
        <f>SUM(B234*C234*D234*E234)</f>
        <v>0</v>
      </c>
      <c r="G234" s="50">
        <v>0</v>
      </c>
      <c r="H234" s="50">
        <f>SUM(F234:G234)</f>
        <v>0</v>
      </c>
      <c r="I234" s="31">
        <f>SUM(H229:H234)</f>
        <v>139.5</v>
      </c>
      <c r="J234" s="32" t="s">
        <v>31</v>
      </c>
      <c r="K234" s="52">
        <v>0</v>
      </c>
      <c r="L234" s="33" t="str">
        <f>'Materiálové hodnoty'!B77</f>
        <v>Vlna</v>
      </c>
      <c r="O234" s="34">
        <f>SUM($I$234*'Materiálové hodnoty'!$E77*'Materiálové hodnoty'!J77*$K234)</f>
        <v>0</v>
      </c>
      <c r="P234" s="34">
        <f>SUM($I$234*'Materiálové hodnoty'!$E77*'Materiálové hodnoty'!K77*$K234)</f>
        <v>0</v>
      </c>
      <c r="Q234" s="34">
        <f>SUM($I$234*'Materiálové hodnoty'!$E77*'Materiálové hodnoty'!L77*$K234)</f>
        <v>0</v>
      </c>
    </row>
    <row r="235" spans="11:17" ht="12.75">
      <c r="K235" s="32"/>
      <c r="L235" s="56"/>
      <c r="M235" s="56"/>
      <c r="N235" s="56"/>
      <c r="O235" s="57"/>
      <c r="P235" s="57"/>
      <c r="Q235" s="57"/>
    </row>
    <row r="236" spans="1:17" ht="15">
      <c r="A236" s="42" t="s">
        <v>86</v>
      </c>
      <c r="B236" s="43"/>
      <c r="C236" s="43"/>
      <c r="D236" s="43"/>
      <c r="E236" s="44"/>
      <c r="F236" s="43"/>
      <c r="G236" s="43"/>
      <c r="H236" s="43"/>
      <c r="I236" s="42"/>
      <c r="J236" s="42"/>
      <c r="K236" s="42"/>
      <c r="L236" s="45"/>
      <c r="M236" s="45"/>
      <c r="N236" s="45"/>
      <c r="O236" s="46">
        <f>SUM(O239:O256)</f>
        <v>53723.9135</v>
      </c>
      <c r="P236" s="46">
        <f>SUM(P239:P256)</f>
        <v>-4779.7477</v>
      </c>
      <c r="Q236" s="46">
        <f>SUM(Q239:Q256)</f>
        <v>18.66858465</v>
      </c>
    </row>
    <row r="237" spans="11:17" ht="12.75">
      <c r="K237" s="32"/>
      <c r="L237" s="56"/>
      <c r="M237" s="56"/>
      <c r="N237" s="56"/>
      <c r="O237" s="57"/>
      <c r="P237" s="57"/>
      <c r="Q237" s="57"/>
    </row>
    <row r="238" spans="1:11" ht="12.75">
      <c r="A238" s="31" t="s">
        <v>87</v>
      </c>
      <c r="B238" s="47" t="s">
        <v>23</v>
      </c>
      <c r="C238" s="47" t="s">
        <v>24</v>
      </c>
      <c r="D238" s="47"/>
      <c r="E238" s="30" t="s">
        <v>26</v>
      </c>
      <c r="F238" s="47" t="s">
        <v>35</v>
      </c>
      <c r="G238" s="47" t="s">
        <v>28</v>
      </c>
      <c r="H238" s="47" t="s">
        <v>29</v>
      </c>
      <c r="I238" s="48" t="s">
        <v>30</v>
      </c>
      <c r="J238" s="49"/>
      <c r="K238" s="32"/>
    </row>
    <row r="239" spans="1:17" ht="12.75">
      <c r="A239" s="58" t="s">
        <v>88</v>
      </c>
      <c r="B239" s="50">
        <v>0</v>
      </c>
      <c r="C239" s="50">
        <v>1</v>
      </c>
      <c r="D239" s="50"/>
      <c r="E239" s="51">
        <v>1</v>
      </c>
      <c r="F239" s="50">
        <f>SUM(B239*C239*E239)</f>
        <v>0</v>
      </c>
      <c r="G239" s="50">
        <v>0</v>
      </c>
      <c r="H239" s="50">
        <f>SUM(F239:G239)</f>
        <v>0</v>
      </c>
      <c r="K239" s="52">
        <v>0</v>
      </c>
      <c r="L239" s="33" t="str">
        <f>'Materiálové hodnoty'!B116</f>
        <v>Fasádne lepidlo</v>
      </c>
      <c r="O239" s="34">
        <f>SUM($I$243*'Materiálové hodnoty'!N116*$K239)</f>
        <v>0</v>
      </c>
      <c r="P239" s="34">
        <f>SUM($I$243*'Materiálové hodnoty'!O116*$K239)</f>
        <v>0</v>
      </c>
      <c r="Q239" s="34">
        <f>SUM($I$243*'Materiálové hodnoty'!P116*$K239)</f>
        <v>0</v>
      </c>
    </row>
    <row r="240" spans="1:17" ht="12.75">
      <c r="A240" s="58"/>
      <c r="B240" s="50">
        <v>0</v>
      </c>
      <c r="C240" s="50">
        <v>0</v>
      </c>
      <c r="D240" s="50"/>
      <c r="E240" s="51">
        <v>1</v>
      </c>
      <c r="F240" s="50">
        <f>SUM(B240*C240*E240)</f>
        <v>0</v>
      </c>
      <c r="G240" s="50">
        <v>0</v>
      </c>
      <c r="H240" s="50">
        <f>SUM(F240:G240)</f>
        <v>0</v>
      </c>
      <c r="K240" s="52">
        <v>0</v>
      </c>
      <c r="L240" s="33" t="str">
        <f>'Materiálové hodnoty'!B117</f>
        <v>Fasádne lepidlo na drevovláknité dosky</v>
      </c>
      <c r="O240" s="34">
        <f>SUM($I$243*'Materiálové hodnoty'!N117*$K240)</f>
        <v>0</v>
      </c>
      <c r="P240" s="34">
        <f>SUM($I$243*'Materiálové hodnoty'!O117*$K240)</f>
        <v>0</v>
      </c>
      <c r="Q240" s="34">
        <f>SUM($I$243*'Materiálové hodnoty'!P117*$K240)</f>
        <v>0</v>
      </c>
    </row>
    <row r="241" spans="1:17" ht="12.75">
      <c r="A241" s="58"/>
      <c r="B241" s="50">
        <v>0</v>
      </c>
      <c r="C241" s="50">
        <v>0</v>
      </c>
      <c r="D241" s="50"/>
      <c r="E241" s="51">
        <v>1</v>
      </c>
      <c r="F241" s="50">
        <f>SUM(B241*C241*E241)</f>
        <v>0</v>
      </c>
      <c r="G241" s="50">
        <v>0</v>
      </c>
      <c r="H241" s="50">
        <f>SUM(F241:G241)</f>
        <v>0</v>
      </c>
      <c r="K241" s="52">
        <v>0</v>
      </c>
      <c r="L241" s="33" t="str">
        <f>'Materiálové hodnoty'!B118</f>
        <v>Sklotextílna mriežka</v>
      </c>
      <c r="O241" s="34">
        <f>SUM($I$243*'Materiálové hodnoty'!N118*$K241)</f>
        <v>0</v>
      </c>
      <c r="P241" s="34">
        <f>SUM($I$243*'Materiálové hodnoty'!O118*$K241)</f>
        <v>0</v>
      </c>
      <c r="Q241" s="34">
        <f>SUM($I$243*'Materiálové hodnoty'!P118*$K241)</f>
        <v>0</v>
      </c>
    </row>
    <row r="242" spans="2:17" ht="12.75">
      <c r="B242" s="50">
        <v>0</v>
      </c>
      <c r="C242" s="50">
        <v>0</v>
      </c>
      <c r="D242" s="50"/>
      <c r="E242" s="51">
        <v>1</v>
      </c>
      <c r="F242" s="50">
        <f>SUM(B242*C242*E242)</f>
        <v>0</v>
      </c>
      <c r="G242" s="50">
        <v>0</v>
      </c>
      <c r="H242" s="50">
        <f>SUM(F242:G242)</f>
        <v>0</v>
      </c>
      <c r="K242" s="52">
        <v>0</v>
      </c>
      <c r="L242" s="33" t="str">
        <f>'Materiálové hodnoty'!B119</f>
        <v>Silikátová omietka so základom</v>
      </c>
      <c r="O242" s="34">
        <f>SUM($I$243*'Materiálové hodnoty'!N119*$K242)</f>
        <v>0</v>
      </c>
      <c r="P242" s="34">
        <f>SUM($I$243*'Materiálové hodnoty'!O119*$K242)</f>
        <v>0</v>
      </c>
      <c r="Q242" s="34">
        <f>SUM($I$243*'Materiálové hodnoty'!P119*$K242)</f>
        <v>0</v>
      </c>
    </row>
    <row r="243" spans="2:17" ht="12.75">
      <c r="B243" s="50">
        <v>0</v>
      </c>
      <c r="C243" s="50">
        <v>0</v>
      </c>
      <c r="D243" s="50"/>
      <c r="E243" s="51">
        <v>1</v>
      </c>
      <c r="F243" s="50">
        <f>SUM(B243*C243*E243)</f>
        <v>0</v>
      </c>
      <c r="G243" s="50">
        <v>0</v>
      </c>
      <c r="H243" s="50">
        <f>SUM(F243:G243)</f>
        <v>0</v>
      </c>
      <c r="I243" s="31">
        <f>SUM(H239:H243)</f>
        <v>0</v>
      </c>
      <c r="J243" s="32" t="s">
        <v>36</v>
      </c>
      <c r="K243" s="52">
        <v>0</v>
      </c>
      <c r="L243" s="33" t="str">
        <f>'Materiálové hodnoty'!B120</f>
        <v>Silikónová omietka so základom</v>
      </c>
      <c r="O243" s="34">
        <f>SUM($I$243*'Materiálové hodnoty'!N120*$K243)</f>
        <v>0</v>
      </c>
      <c r="P243" s="34">
        <f>SUM($I$243*'Materiálové hodnoty'!O120*$K243)</f>
        <v>0</v>
      </c>
      <c r="Q243" s="34">
        <f>SUM($I$243*'Materiálové hodnoty'!P120*$K243)</f>
        <v>0</v>
      </c>
    </row>
    <row r="244" spans="5:17" s="18" customFormat="1" ht="12.75">
      <c r="E244" s="53"/>
      <c r="I244" s="32"/>
      <c r="J244" s="32"/>
      <c r="K244" s="32"/>
      <c r="L244" s="56"/>
      <c r="M244" s="56"/>
      <c r="N244" s="56"/>
      <c r="O244" s="57"/>
      <c r="P244" s="57"/>
      <c r="Q244" s="57"/>
    </row>
    <row r="245" spans="1:17" s="18" customFormat="1" ht="12.75">
      <c r="A245" s="58" t="s">
        <v>89</v>
      </c>
      <c r="B245" s="47" t="s">
        <v>23</v>
      </c>
      <c r="C245" s="47" t="s">
        <v>24</v>
      </c>
      <c r="D245" s="47" t="s">
        <v>48</v>
      </c>
      <c r="E245" s="30" t="s">
        <v>26</v>
      </c>
      <c r="F245" s="47" t="s">
        <v>27</v>
      </c>
      <c r="G245" s="47" t="s">
        <v>28</v>
      </c>
      <c r="H245" s="47" t="s">
        <v>29</v>
      </c>
      <c r="I245" s="48" t="s">
        <v>30</v>
      </c>
      <c r="J245" s="49"/>
      <c r="K245" s="52">
        <v>0</v>
      </c>
      <c r="L245" s="33" t="str">
        <f>'Materiálové hodnoty'!B32</f>
        <v>Drevovláknitá doska</v>
      </c>
      <c r="M245" s="33"/>
      <c r="N245" s="33"/>
      <c r="O245" s="34">
        <f>SUM($I$250*'Materiálové hodnoty'!$E32*'Materiálové hodnoty'!J32*$K245)</f>
        <v>0</v>
      </c>
      <c r="P245" s="34">
        <f>SUM($I$250*'Materiálové hodnoty'!$E32*'Materiálové hodnoty'!K32*$K245)</f>
        <v>0</v>
      </c>
      <c r="Q245" s="34">
        <f>SUM($I$250*'Materiálové hodnoty'!$E32*'Materiálové hodnoty'!L32*$K245)</f>
        <v>0</v>
      </c>
    </row>
    <row r="246" spans="1:17" s="18" customFormat="1" ht="12.75">
      <c r="A246"/>
      <c r="B246" s="50">
        <v>164.7</v>
      </c>
      <c r="C246" s="50">
        <v>1</v>
      </c>
      <c r="D246" s="64">
        <v>0.015</v>
      </c>
      <c r="E246" s="51">
        <v>1</v>
      </c>
      <c r="F246" s="50">
        <f>SUM(B246*C246*D246*E246)</f>
        <v>2.4705</v>
      </c>
      <c r="G246" s="50">
        <v>0</v>
      </c>
      <c r="H246" s="50">
        <f>SUM(F246:G246)</f>
        <v>2.4705</v>
      </c>
      <c r="I246" s="31"/>
      <c r="J246" s="32"/>
      <c r="K246" s="52">
        <v>0</v>
      </c>
      <c r="L246" s="33" t="str">
        <f>'Materiálové hodnoty'!B33</f>
        <v>Drevený záklop</v>
      </c>
      <c r="M246" s="33"/>
      <c r="N246" s="33"/>
      <c r="O246" s="34">
        <f>SUM($I$250*'Materiálové hodnoty'!$E33*'Materiálové hodnoty'!J33*$K246)</f>
        <v>0</v>
      </c>
      <c r="P246" s="34">
        <f>SUM($I$250*'Materiálové hodnoty'!$E33*'Materiálové hodnoty'!K33*$K246)</f>
        <v>0</v>
      </c>
      <c r="Q246" s="34">
        <f>SUM($I$250*'Materiálové hodnoty'!$E33*'Materiálové hodnoty'!L33*$K246)</f>
        <v>0</v>
      </c>
    </row>
    <row r="247" spans="1:17" s="18" customFormat="1" ht="12.75">
      <c r="A247"/>
      <c r="B247" s="50">
        <v>63.2</v>
      </c>
      <c r="C247" s="50">
        <v>1</v>
      </c>
      <c r="D247" s="64">
        <v>0.015</v>
      </c>
      <c r="E247" s="51">
        <v>1</v>
      </c>
      <c r="F247" s="50">
        <f>SUM(B247*C247*D247*E247)</f>
        <v>0.948</v>
      </c>
      <c r="G247" s="50">
        <v>0</v>
      </c>
      <c r="H247" s="50">
        <f>SUM(F247:G247)</f>
        <v>0.948</v>
      </c>
      <c r="I247" s="31"/>
      <c r="J247" s="32"/>
      <c r="K247" s="52">
        <v>1</v>
      </c>
      <c r="L247" s="33" t="str">
        <f>'Materiálové hodnoty'!B34</f>
        <v>MDF </v>
      </c>
      <c r="M247" s="33"/>
      <c r="N247" s="33"/>
      <c r="O247" s="34">
        <f>SUM($I$250*'Materiálové hodnoty'!$E34*'Materiálové hodnoty'!J34*$K247)</f>
        <v>31730.517</v>
      </c>
      <c r="P247" s="34">
        <f>SUM($I$250*'Materiálové hodnoty'!$E34*'Materiálové hodnoty'!K34*$K247)</f>
        <v>-2773.0872</v>
      </c>
      <c r="Q247" s="34">
        <f>SUM($I$250*'Materiálové hodnoty'!$E34*'Materiálové hodnoty'!L34*$K247)</f>
        <v>11.0123559</v>
      </c>
    </row>
    <row r="248" spans="1:17" s="18" customFormat="1" ht="12.75">
      <c r="A248"/>
      <c r="B248" s="50">
        <v>0</v>
      </c>
      <c r="C248" s="50">
        <v>0</v>
      </c>
      <c r="D248" s="64">
        <v>0</v>
      </c>
      <c r="E248" s="51">
        <v>1</v>
      </c>
      <c r="F248" s="50">
        <f>SUM(B248*C248*D248*E248)</f>
        <v>0</v>
      </c>
      <c r="G248" s="50">
        <v>0</v>
      </c>
      <c r="H248" s="50">
        <f>SUM(F248:G248)</f>
        <v>0</v>
      </c>
      <c r="I248"/>
      <c r="J248"/>
      <c r="K248" s="52">
        <v>0</v>
      </c>
      <c r="L248" s="33" t="str">
        <f>'Materiálové hodnoty'!B35</f>
        <v>OSB</v>
      </c>
      <c r="M248" s="33"/>
      <c r="N248" s="33"/>
      <c r="O248" s="34">
        <f>SUM($I$250*'Materiálové hodnoty'!$E35*'Materiálové hodnoty'!J35*$K248)</f>
        <v>0</v>
      </c>
      <c r="P248" s="34">
        <f>SUM($I$250*'Materiálové hodnoty'!$E35*'Materiálové hodnoty'!K35*$K248)</f>
        <v>0</v>
      </c>
      <c r="Q248" s="34">
        <f>SUM($I$250*'Materiálové hodnoty'!$E35*'Materiálové hodnoty'!L35*$K248)</f>
        <v>0</v>
      </c>
    </row>
    <row r="249" spans="1:17" s="18" customFormat="1" ht="12.75">
      <c r="A249"/>
      <c r="B249" s="50">
        <v>0</v>
      </c>
      <c r="C249" s="50">
        <v>0</v>
      </c>
      <c r="D249" s="64">
        <v>0</v>
      </c>
      <c r="E249" s="51">
        <v>1</v>
      </c>
      <c r="F249" s="50">
        <f>SUM(B249*C249*D249*E249)</f>
        <v>0</v>
      </c>
      <c r="G249" s="50">
        <v>0</v>
      </c>
      <c r="H249" s="50">
        <f>SUM(F249:G249)</f>
        <v>0</v>
      </c>
      <c r="I249" s="31"/>
      <c r="J249" s="32"/>
      <c r="K249" s="52">
        <v>0</v>
      </c>
      <c r="L249" s="33" t="str">
        <f>'Materiálové hodnoty'!B36</f>
        <v>Drevocementové dosky</v>
      </c>
      <c r="M249" s="33"/>
      <c r="N249" s="33"/>
      <c r="O249" s="34">
        <f>SUM($I$250*'Materiálové hodnoty'!$E36*'Materiálové hodnoty'!J36*$K249)</f>
        <v>0</v>
      </c>
      <c r="P249" s="34">
        <f>SUM($I$250*'Materiálové hodnoty'!$E36*'Materiálové hodnoty'!K36*$K249)</f>
        <v>0</v>
      </c>
      <c r="Q249" s="34">
        <f>SUM($I$250*'Materiálové hodnoty'!$E36*'Materiálové hodnoty'!L36*$K249)</f>
        <v>0</v>
      </c>
    </row>
    <row r="250" spans="1:17" s="18" customFormat="1" ht="12.75">
      <c r="A250"/>
      <c r="B250" s="50">
        <v>0</v>
      </c>
      <c r="C250" s="50">
        <v>0</v>
      </c>
      <c r="D250" s="64">
        <v>0</v>
      </c>
      <c r="E250" s="51">
        <v>1</v>
      </c>
      <c r="F250" s="50">
        <f>SUM(B250*C250*D250*E250)</f>
        <v>0</v>
      </c>
      <c r="G250" s="50">
        <v>0</v>
      </c>
      <c r="H250" s="50">
        <f>SUM(F250:G250)</f>
        <v>0</v>
      </c>
      <c r="I250" s="31">
        <f>SUM(H246:H250)</f>
        <v>3.4185</v>
      </c>
      <c r="J250" s="32" t="s">
        <v>27</v>
      </c>
      <c r="K250" s="52">
        <v>0</v>
      </c>
      <c r="L250" s="33" t="str">
        <f>'Materiálové hodnoty'!B37</f>
        <v>Drevomagnezitové dosky</v>
      </c>
      <c r="M250" s="33"/>
      <c r="N250" s="33"/>
      <c r="O250" s="34">
        <f>SUM($I$250*'Materiálové hodnoty'!$E37*'Materiálové hodnoty'!J37*$K250)</f>
        <v>0</v>
      </c>
      <c r="P250" s="34">
        <f>SUM($I$250*'Materiálové hodnoty'!$E37*'Materiálové hodnoty'!K37*$K250)</f>
        <v>0</v>
      </c>
      <c r="Q250" s="34">
        <f>SUM($I$250*'Materiálové hodnoty'!$E37*'Materiálové hodnoty'!L37*$K250)</f>
        <v>0</v>
      </c>
    </row>
    <row r="251" spans="5:17" s="18" customFormat="1" ht="12.75">
      <c r="E251" s="53"/>
      <c r="I251" s="32"/>
      <c r="J251" s="32"/>
      <c r="K251" s="32"/>
      <c r="L251" s="56"/>
      <c r="M251" s="56"/>
      <c r="N251" s="56"/>
      <c r="O251" s="57"/>
      <c r="P251" s="57"/>
      <c r="Q251" s="57"/>
    </row>
    <row r="252" spans="1:17" s="18" customFormat="1" ht="12.75">
      <c r="A252" s="58" t="s">
        <v>90</v>
      </c>
      <c r="B252" s="47" t="s">
        <v>23</v>
      </c>
      <c r="C252" s="47" t="s">
        <v>24</v>
      </c>
      <c r="D252" s="47"/>
      <c r="E252" s="30" t="s">
        <v>26</v>
      </c>
      <c r="F252" s="47" t="s">
        <v>35</v>
      </c>
      <c r="G252" s="47" t="s">
        <v>28</v>
      </c>
      <c r="H252" s="47" t="s">
        <v>29</v>
      </c>
      <c r="I252" s="48" t="s">
        <v>30</v>
      </c>
      <c r="J252" s="49"/>
      <c r="K252" s="52">
        <v>0</v>
      </c>
      <c r="L252" s="33" t="str">
        <f>'Materiálové hodnoty'!B115</f>
        <v>Tepelnoizolačné omietka s perlitom 30mm</v>
      </c>
      <c r="M252" s="33"/>
      <c r="N252" s="33"/>
      <c r="O252" s="34">
        <f>SUM($I$255*'Materiálové hodnoty'!N115*$K252)</f>
        <v>0</v>
      </c>
      <c r="P252" s="34">
        <f>SUM($I$255*'Materiálové hodnoty'!O115*$K252)</f>
        <v>0</v>
      </c>
      <c r="Q252" s="34">
        <f>SUM($I$255*'Materiálové hodnoty'!P115*$K252)</f>
        <v>0</v>
      </c>
    </row>
    <row r="253" spans="1:17" s="18" customFormat="1" ht="12.75">
      <c r="A253"/>
      <c r="B253" s="50">
        <v>164.7</v>
      </c>
      <c r="C253" s="50">
        <v>1</v>
      </c>
      <c r="D253" s="50"/>
      <c r="E253" s="51">
        <v>1</v>
      </c>
      <c r="F253" s="50">
        <f>SUM(B253*C253*E253)</f>
        <v>164.7</v>
      </c>
      <c r="G253" s="50">
        <v>0</v>
      </c>
      <c r="H253" s="50">
        <f>SUM(F253:G253)</f>
        <v>164.7</v>
      </c>
      <c r="I253" s="31"/>
      <c r="J253" s="32"/>
      <c r="K253" s="52">
        <f>SUM(H254/I255)</f>
        <v>0.2773146116717859</v>
      </c>
      <c r="L253" s="33" t="str">
        <f>'Materiálové hodnoty'!B121</f>
        <v>Cementovláknitá doska, Eternit</v>
      </c>
      <c r="M253" s="56"/>
      <c r="N253" s="56"/>
      <c r="O253" s="34">
        <f>SUM($I$255*'Materiálové hodnoty'!N121*$K253)</f>
        <v>14055.68</v>
      </c>
      <c r="P253" s="34">
        <f>SUM($I$255*'Materiálové hodnoty'!O121*$K253)</f>
        <v>950.528</v>
      </c>
      <c r="Q253" s="34">
        <f>SUM($I$255*'Materiálové hodnoty'!P121*$K253)</f>
        <v>3.427968</v>
      </c>
    </row>
    <row r="254" spans="1:17" s="18" customFormat="1" ht="12.75">
      <c r="A254"/>
      <c r="B254" s="50">
        <v>63.2</v>
      </c>
      <c r="C254" s="50">
        <v>1</v>
      </c>
      <c r="D254" s="50"/>
      <c r="E254" s="51">
        <v>1</v>
      </c>
      <c r="F254" s="50">
        <f>SUM(B254*C254*E254)</f>
        <v>63.2</v>
      </c>
      <c r="G254" s="50">
        <v>0</v>
      </c>
      <c r="H254" s="50">
        <f>SUM(F254:G254)</f>
        <v>63.2</v>
      </c>
      <c r="I254" s="31"/>
      <c r="J254" s="32"/>
      <c r="K254" s="52">
        <f>SUM(H253/I255)</f>
        <v>0.7226853883282142</v>
      </c>
      <c r="L254" s="33" t="str">
        <f>'Materiálové hodnoty'!B122</f>
        <v>Drevený obklad</v>
      </c>
      <c r="M254" s="56"/>
      <c r="N254" s="56"/>
      <c r="O254" s="34">
        <f>SUM($I$255*'Materiálové hodnoty'!N122*$K254)</f>
        <v>7937.7165</v>
      </c>
      <c r="P254" s="34">
        <f>SUM($I$255*'Materiálové hodnoty'!O122*$K254)</f>
        <v>-2957.1885</v>
      </c>
      <c r="Q254" s="34">
        <f>SUM($I$255*'Materiálové hodnoty'!P122*$K254)</f>
        <v>4.22826075</v>
      </c>
    </row>
    <row r="255" spans="1:17" s="18" customFormat="1" ht="12.75">
      <c r="A255"/>
      <c r="B255" s="50">
        <v>0</v>
      </c>
      <c r="C255" s="50">
        <v>0</v>
      </c>
      <c r="D255" s="50"/>
      <c r="E255" s="51">
        <v>1</v>
      </c>
      <c r="F255" s="50">
        <f>SUM(B255*C255*E255)</f>
        <v>0</v>
      </c>
      <c r="G255" s="50">
        <v>0</v>
      </c>
      <c r="H255" s="50">
        <f>SUM(F255:G255)</f>
        <v>0</v>
      </c>
      <c r="I255" s="31">
        <f>SUM(H253:H255)</f>
        <v>227.89999999999998</v>
      </c>
      <c r="J255" s="32" t="s">
        <v>35</v>
      </c>
      <c r="K255" s="52">
        <v>0</v>
      </c>
      <c r="L255" s="33" t="str">
        <f>'Materiálové hodnoty'!B123</f>
        <v>Preglejka</v>
      </c>
      <c r="M255" s="56"/>
      <c r="N255" s="56"/>
      <c r="O255" s="34">
        <f>SUM($I$255*'Materiálové hodnoty'!N123*$K255)</f>
        <v>0</v>
      </c>
      <c r="P255" s="34">
        <f>SUM($I$255*'Materiálové hodnoty'!O123*$K255)</f>
        <v>0</v>
      </c>
      <c r="Q255" s="34">
        <f>SUM($I$255*'Materiálové hodnoty'!P123*$K255)</f>
        <v>0</v>
      </c>
    </row>
    <row r="256" spans="11:17" ht="12.75">
      <c r="K256" s="32"/>
      <c r="L256" s="56"/>
      <c r="M256" s="56"/>
      <c r="N256" s="56"/>
      <c r="O256" s="57"/>
      <c r="P256" s="57"/>
      <c r="Q256" s="57"/>
    </row>
    <row r="257" spans="1:17" ht="12.75">
      <c r="A257" t="s">
        <v>91</v>
      </c>
      <c r="B257" s="50">
        <f>SUM(B253:B256)</f>
        <v>227.89999999999998</v>
      </c>
      <c r="C257" s="50">
        <v>1</v>
      </c>
      <c r="D257" s="64">
        <v>0.005</v>
      </c>
      <c r="E257" s="51">
        <v>1</v>
      </c>
      <c r="F257" s="50">
        <f>SUM(B257*C257*D257*E257)</f>
        <v>1.1395</v>
      </c>
      <c r="G257" s="50">
        <v>0</v>
      </c>
      <c r="H257" s="50">
        <f>SUM(F257:G257)</f>
        <v>1.1395</v>
      </c>
      <c r="K257" s="52">
        <v>1</v>
      </c>
      <c r="L257" s="33" t="str">
        <f>('Materiálové hodnoty'!B10)</f>
        <v>Stavebné drevo sušené na vzduchu</v>
      </c>
      <c r="M257" s="56"/>
      <c r="N257" s="56"/>
      <c r="O257" s="34">
        <f>SUM($I$259*'Materiálové hodnoty'!$E10*'Materiálové hodnoty'!J10*$K257)</f>
        <v>1162.9737</v>
      </c>
      <c r="P257" s="34">
        <f>SUM($I$259*'Materiálové hodnoty'!$E10*'Materiálové hodnoty'!K10*$K257)</f>
        <v>-866.99997</v>
      </c>
      <c r="Q257" s="34">
        <f>SUM($I$259*'Materiálové hodnoty'!$E10*'Materiálové hodnoty'!L10*$K257)</f>
        <v>0.7630091999999999</v>
      </c>
    </row>
    <row r="258" spans="2:17" ht="12.75">
      <c r="B258" s="50">
        <v>0</v>
      </c>
      <c r="C258" s="50">
        <v>0</v>
      </c>
      <c r="D258" s="64">
        <v>0</v>
      </c>
      <c r="E258" s="51">
        <v>1</v>
      </c>
      <c r="F258" s="50">
        <f>SUM(B258*C258*D258*E258)</f>
        <v>0</v>
      </c>
      <c r="G258" s="50">
        <v>0</v>
      </c>
      <c r="H258" s="50">
        <f>SUM(F258:G258)</f>
        <v>0</v>
      </c>
      <c r="K258" s="52">
        <f>SUM((H258+H259)/I259)</f>
        <v>0</v>
      </c>
      <c r="L258" s="33" t="str">
        <f>('Materiálové hodnoty'!B11)</f>
        <v>Stavebné drevo technicky sušené</v>
      </c>
      <c r="O258" s="34">
        <f>SUM($I$259*'Materiálové hodnoty'!$E11*'Materiálové hodnoty'!J11*$K258)</f>
        <v>0</v>
      </c>
      <c r="P258" s="34">
        <f>SUM($I$259*'Materiálové hodnoty'!$E11*'Materiálové hodnoty'!K11*$K258)</f>
        <v>0</v>
      </c>
      <c r="Q258" s="34">
        <f>SUM($I$259*'Materiálové hodnoty'!$E11*'Materiálové hodnoty'!L11*$K258)</f>
        <v>0</v>
      </c>
    </row>
    <row r="259" spans="2:17" ht="12.75">
      <c r="B259" s="50">
        <v>0</v>
      </c>
      <c r="C259" s="50">
        <v>0</v>
      </c>
      <c r="D259" s="64">
        <v>0</v>
      </c>
      <c r="E259" s="51">
        <v>1</v>
      </c>
      <c r="F259" s="50">
        <f>SUM(B259*C259*D259*E259)</f>
        <v>0</v>
      </c>
      <c r="G259" s="50">
        <v>0</v>
      </c>
      <c r="H259" s="50">
        <f>SUM(F259:G259)</f>
        <v>0</v>
      </c>
      <c r="I259" s="31">
        <f>SUM(H257:H259)</f>
        <v>1.1395</v>
      </c>
      <c r="J259" s="32" t="s">
        <v>31</v>
      </c>
      <c r="K259" s="52">
        <v>0</v>
      </c>
      <c r="L259" s="33" t="str">
        <f>('Materiálové hodnoty'!B12)</f>
        <v>Lepené drevené hranoly</v>
      </c>
      <c r="M259" s="56"/>
      <c r="N259" s="56"/>
      <c r="O259" s="34">
        <f>SUM($I$259*'Materiálové hodnoty'!$E12*'Materiálové hodnoty'!J12*$K259)</f>
        <v>0</v>
      </c>
      <c r="P259" s="34">
        <f>SUM($I$259*'Materiálové hodnoty'!$E12*'Materiálové hodnoty'!K12*$K259)</f>
        <v>0</v>
      </c>
      <c r="Q259" s="34">
        <f>SUM($I$259*'Materiálové hodnoty'!$E12*'Materiálové hodnoty'!L12*$K259)</f>
        <v>0</v>
      </c>
    </row>
    <row r="260" spans="11:17" ht="12.75">
      <c r="K260" s="32"/>
      <c r="L260" s="56"/>
      <c r="M260" s="56"/>
      <c r="N260" s="56"/>
      <c r="O260" s="57"/>
      <c r="P260" s="57"/>
      <c r="Q260" s="57"/>
    </row>
    <row r="261" spans="11:17" ht="12.75">
      <c r="K261" s="32"/>
      <c r="L261" s="56"/>
      <c r="M261" s="56"/>
      <c r="N261" s="56"/>
      <c r="O261" s="57"/>
      <c r="P261" s="57"/>
      <c r="Q261" s="57"/>
    </row>
    <row r="262" spans="1:17" ht="15">
      <c r="A262" s="42" t="s">
        <v>92</v>
      </c>
      <c r="B262" s="43"/>
      <c r="C262" s="43"/>
      <c r="D262" s="43"/>
      <c r="E262" s="44"/>
      <c r="F262" s="43"/>
      <c r="G262" s="43"/>
      <c r="H262" s="43"/>
      <c r="I262" s="42"/>
      <c r="J262" s="42"/>
      <c r="K262" s="42"/>
      <c r="L262" s="45"/>
      <c r="M262" s="45"/>
      <c r="N262" s="45"/>
      <c r="O262" s="46">
        <f>SUM(O264:O310)</f>
        <v>55255.70360000001</v>
      </c>
      <c r="P262" s="46">
        <f>SUM(P264:P310)</f>
        <v>-200.11233000000001</v>
      </c>
      <c r="Q262" s="46">
        <f>SUM(Q264:Q310)</f>
        <v>21.393306900000006</v>
      </c>
    </row>
    <row r="263" spans="11:17" ht="12.75">
      <c r="K263" s="32"/>
      <c r="L263" s="56"/>
      <c r="M263" s="56"/>
      <c r="N263" s="56"/>
      <c r="O263" s="57"/>
      <c r="P263" s="57"/>
      <c r="Q263" s="57"/>
    </row>
    <row r="264" spans="11:17" ht="12.75">
      <c r="K264" s="32"/>
      <c r="L264" s="56"/>
      <c r="M264" s="56"/>
      <c r="N264" s="56"/>
      <c r="O264" s="57"/>
      <c r="P264" s="57"/>
      <c r="Q264" s="57"/>
    </row>
    <row r="265" spans="1:17" ht="12.75">
      <c r="A265" s="31" t="s">
        <v>83</v>
      </c>
      <c r="B265" s="47" t="s">
        <v>82</v>
      </c>
      <c r="C265" s="47" t="s">
        <v>61</v>
      </c>
      <c r="D265" s="47" t="s">
        <v>48</v>
      </c>
      <c r="E265" s="30" t="s">
        <v>26</v>
      </c>
      <c r="F265" s="47" t="s">
        <v>27</v>
      </c>
      <c r="G265" s="47" t="s">
        <v>28</v>
      </c>
      <c r="H265" s="47" t="s">
        <v>29</v>
      </c>
      <c r="I265" s="48" t="s">
        <v>30</v>
      </c>
      <c r="K265" s="52">
        <f>SUM(H268/I272)</f>
        <v>0.7972602739726027</v>
      </c>
      <c r="L265" s="33" t="str">
        <f>'Materiálové hodnoty'!B89</f>
        <v>Palubovka</v>
      </c>
      <c r="O265" s="34">
        <f>SUM($I$272*'Materiálové hodnoty'!$E89*'Materiálové hodnoty'!J89*$K265)</f>
        <v>15201.723600000003</v>
      </c>
      <c r="P265" s="34">
        <f>SUM($I$272*'Materiálové hodnoty'!$E89*'Materiálové hodnoty'!K89*$K265)</f>
        <v>97.89822000000001</v>
      </c>
      <c r="Q265" s="34">
        <f>SUM($I$272*'Materiálové hodnoty'!$E89*'Materiálové hodnoty'!L89*$K265)</f>
        <v>6.7978764000000025</v>
      </c>
    </row>
    <row r="266" spans="11:17" ht="12.75">
      <c r="K266" s="52">
        <v>0</v>
      </c>
      <c r="L266" s="33" t="str">
        <f>'Materiálové hodnoty'!B90</f>
        <v>Linoleum</v>
      </c>
      <c r="O266" s="34">
        <f>SUM($I$272*'Materiálové hodnoty'!$E90*'Materiálové hodnoty'!J90*$K266)</f>
        <v>0</v>
      </c>
      <c r="P266" s="34">
        <f>SUM($I$272*'Materiálové hodnoty'!$E90*'Materiálové hodnoty'!K90*$K266)</f>
        <v>0</v>
      </c>
      <c r="Q266" s="34">
        <f>SUM($I$272*'Materiálové hodnoty'!$E90*'Materiálové hodnoty'!L90*$K266)</f>
        <v>0</v>
      </c>
    </row>
    <row r="267" spans="1:17" ht="12.75">
      <c r="A267" s="58"/>
      <c r="K267" s="52">
        <v>0</v>
      </c>
      <c r="L267" s="33" t="str">
        <f>'Materiálové hodnoty'!B91</f>
        <v>Hotové parkety drevené</v>
      </c>
      <c r="O267" s="34">
        <f>SUM($I$272*'Materiálové hodnoty'!$E91*'Materiálové hodnoty'!J91*$K267)</f>
        <v>0</v>
      </c>
      <c r="P267" s="34">
        <f>SUM($I$272*'Materiálové hodnoty'!$E91*'Materiálové hodnoty'!K91*$K267)</f>
        <v>0</v>
      </c>
      <c r="Q267" s="34">
        <f>SUM($I$272*'Materiálové hodnoty'!$E91*'Materiálové hodnoty'!L91*$K267)</f>
        <v>0</v>
      </c>
    </row>
    <row r="268" spans="1:17" ht="12.75">
      <c r="A268" s="58" t="s">
        <v>93</v>
      </c>
      <c r="B268" s="50">
        <v>97</v>
      </c>
      <c r="C268" s="50">
        <v>1</v>
      </c>
      <c r="D268" s="64">
        <v>0.018000000000000002</v>
      </c>
      <c r="E268" s="51">
        <v>1</v>
      </c>
      <c r="F268" s="50">
        <f>SUM(B268*C268*D268*E268)</f>
        <v>1.7460000000000002</v>
      </c>
      <c r="G268" s="50">
        <v>0</v>
      </c>
      <c r="H268" s="50">
        <f>SUM(F268:G268)</f>
        <v>1.7460000000000002</v>
      </c>
      <c r="I268"/>
      <c r="J268"/>
      <c r="K268" s="52">
        <v>0</v>
      </c>
      <c r="L268" s="33" t="str">
        <f>'Materiálové hodnoty'!B92</f>
        <v>Hotové parkety laminátové</v>
      </c>
      <c r="O268" s="34">
        <f>SUM($I$272*'Materiálové hodnoty'!$E92*'Materiálové hodnoty'!J92*$K268)</f>
        <v>0</v>
      </c>
      <c r="P268" s="34">
        <f>SUM($I$272*'Materiálové hodnoty'!$E92*'Materiálové hodnoty'!K92*$K268)</f>
        <v>0</v>
      </c>
      <c r="Q268" s="34">
        <f>SUM($I$272*'Materiálové hodnoty'!$E92*'Materiálové hodnoty'!L92*$K268)</f>
        <v>0</v>
      </c>
    </row>
    <row r="269" spans="1:17" ht="12.75">
      <c r="A269" s="58" t="s">
        <v>94</v>
      </c>
      <c r="B269" s="50">
        <v>37</v>
      </c>
      <c r="C269" s="50">
        <v>1</v>
      </c>
      <c r="D269" s="64">
        <v>0.012</v>
      </c>
      <c r="E269" s="51">
        <v>1</v>
      </c>
      <c r="F269" s="50">
        <f>SUM(B269*C269*D269*E269)</f>
        <v>0.444</v>
      </c>
      <c r="G269" s="50">
        <v>0</v>
      </c>
      <c r="H269" s="50">
        <f>SUM(F269:G269)</f>
        <v>0.444</v>
      </c>
      <c r="K269" s="52">
        <f>SUM(H269/I272)</f>
        <v>0.20273972602739723</v>
      </c>
      <c r="L269" s="33" t="str">
        <f>'Materiálové hodnoty'!B93</f>
        <v>Keramická dlažba</v>
      </c>
      <c r="O269" s="34">
        <f>SUM($I$272*'Materiálové hodnoty'!$E93*'Materiálové hodnoty'!J93*$K269)</f>
        <v>12343.2</v>
      </c>
      <c r="P269" s="34">
        <f>SUM($I$272*'Materiálové hodnoty'!$E93*'Materiálové hodnoty'!K93*$K269)</f>
        <v>636.696</v>
      </c>
      <c r="Q269" s="34">
        <f>SUM($I$272*'Materiálové hodnoty'!$E93*'Materiálové hodnoty'!L93*$K269)</f>
        <v>2.6462400000000006</v>
      </c>
    </row>
    <row r="270" spans="1:17" ht="12.75">
      <c r="A270" s="58"/>
      <c r="B270" s="50">
        <v>0</v>
      </c>
      <c r="C270" s="50">
        <v>0</v>
      </c>
      <c r="D270" s="64">
        <v>0</v>
      </c>
      <c r="E270" s="51">
        <v>1</v>
      </c>
      <c r="F270" s="50">
        <f>SUM(B270*C270*D270*E270)</f>
        <v>0</v>
      </c>
      <c r="G270" s="50">
        <v>0</v>
      </c>
      <c r="H270" s="50">
        <f>SUM(F270:G270)</f>
        <v>0</v>
      </c>
      <c r="K270" s="52">
        <v>0</v>
      </c>
      <c r="L270" s="33" t="str">
        <f>'Materiálové hodnoty'!B94</f>
        <v>Anhydridový poter</v>
      </c>
      <c r="O270" s="34">
        <f>SUM($I$272*'Materiálové hodnoty'!$E94*'Materiálové hodnoty'!J94*$K270)</f>
        <v>0</v>
      </c>
      <c r="P270" s="34">
        <f>SUM($I$272*'Materiálové hodnoty'!$E94*'Materiálové hodnoty'!K94*$K270)</f>
        <v>0</v>
      </c>
      <c r="Q270" s="34">
        <f>SUM($I$272*'Materiálové hodnoty'!$E94*'Materiálové hodnoty'!L94*$K270)</f>
        <v>0</v>
      </c>
    </row>
    <row r="271" spans="1:17" ht="12.75">
      <c r="A271" s="58"/>
      <c r="B271" s="50">
        <v>0</v>
      </c>
      <c r="C271" s="50">
        <v>0</v>
      </c>
      <c r="D271" s="64">
        <v>0</v>
      </c>
      <c r="E271" s="51">
        <v>1</v>
      </c>
      <c r="F271" s="50">
        <f>SUM(B271*C271*D271*E271)</f>
        <v>0</v>
      </c>
      <c r="G271" s="50">
        <v>0</v>
      </c>
      <c r="H271" s="50">
        <f>SUM(F271:G271)</f>
        <v>0</v>
      </c>
      <c r="K271" s="52">
        <v>0</v>
      </c>
      <c r="L271" s="33" t="str">
        <f>'Materiálové hodnoty'!B95</f>
        <v>Liaty asfaltový poter</v>
      </c>
      <c r="O271" s="34">
        <f>SUM($I$272*'Materiálové hodnoty'!$E95*'Materiálové hodnoty'!J95*$K271)</f>
        <v>0</v>
      </c>
      <c r="P271" s="34">
        <f>SUM($I$272*'Materiálové hodnoty'!$E95*'Materiálové hodnoty'!K95*$K271)</f>
        <v>0</v>
      </c>
      <c r="Q271" s="34">
        <f>SUM($I$272*'Materiálové hodnoty'!$E95*'Materiálové hodnoty'!L95*$K271)</f>
        <v>0</v>
      </c>
    </row>
    <row r="272" spans="1:17" ht="12.75">
      <c r="A272" s="58"/>
      <c r="B272" s="50">
        <v>0</v>
      </c>
      <c r="C272" s="50">
        <v>0</v>
      </c>
      <c r="D272" s="64">
        <v>0</v>
      </c>
      <c r="E272" s="51">
        <v>1</v>
      </c>
      <c r="F272" s="50">
        <f>SUM(B272*C272*D272*E272)</f>
        <v>0</v>
      </c>
      <c r="G272" s="50">
        <v>0</v>
      </c>
      <c r="H272" s="50">
        <f>SUM(F272:G272)</f>
        <v>0</v>
      </c>
      <c r="I272" s="31">
        <f>SUM(H267:H272)</f>
        <v>2.1900000000000004</v>
      </c>
      <c r="J272" s="32" t="s">
        <v>31</v>
      </c>
      <c r="K272" s="52">
        <v>0</v>
      </c>
      <c r="L272" s="33" t="str">
        <f>'Materiálové hodnoty'!B96</f>
        <v>Betónový poter</v>
      </c>
      <c r="O272" s="34">
        <f>SUM($I$272*'Materiálové hodnoty'!$E96*'Materiálové hodnoty'!J96*$K272)</f>
        <v>0</v>
      </c>
      <c r="P272" s="34">
        <f>SUM($I$272*'Materiálové hodnoty'!$E96*'Materiálové hodnoty'!K96*$K272)</f>
        <v>0</v>
      </c>
      <c r="Q272" s="34">
        <f>SUM($I$272*'Materiálové hodnoty'!$E96*'Materiálové hodnoty'!L96*$K272)</f>
        <v>0</v>
      </c>
    </row>
    <row r="273" spans="4:11" ht="12.75">
      <c r="D273" s="65"/>
      <c r="K273" s="32"/>
    </row>
    <row r="274" spans="1:17" ht="12.75">
      <c r="A274" s="31" t="s">
        <v>95</v>
      </c>
      <c r="B274" s="47" t="s">
        <v>82</v>
      </c>
      <c r="C274" s="47" t="s">
        <v>61</v>
      </c>
      <c r="D274" s="47" t="s">
        <v>48</v>
      </c>
      <c r="E274" s="30" t="s">
        <v>26</v>
      </c>
      <c r="F274" s="47" t="s">
        <v>27</v>
      </c>
      <c r="G274" s="47" t="s">
        <v>28</v>
      </c>
      <c r="H274" s="47" t="s">
        <v>29</v>
      </c>
      <c r="I274" s="48" t="s">
        <v>30</v>
      </c>
      <c r="K274" s="52">
        <v>0</v>
      </c>
      <c r="L274" s="33" t="str">
        <f>'Materiálové hodnoty'!B80</f>
        <v>Konope Flachs? PE spevnené</v>
      </c>
      <c r="O274" s="34">
        <f>SUM($I$279*'Materiálové hodnoty'!$E80*'Materiálové hodnoty'!J80*$K274)</f>
        <v>0</v>
      </c>
      <c r="P274" s="34">
        <f>SUM($I$279*'Materiálové hodnoty'!$E80*'Materiálové hodnoty'!K80*$K274)</f>
        <v>0</v>
      </c>
      <c r="Q274" s="34">
        <f>SUM($I$279*'Materiálové hodnoty'!$E80*'Materiálové hodnoty'!L80*$K274)</f>
        <v>0</v>
      </c>
    </row>
    <row r="275" spans="2:17" ht="12.75">
      <c r="B275" s="50">
        <v>97</v>
      </c>
      <c r="C275" s="50">
        <v>1</v>
      </c>
      <c r="D275" s="64">
        <v>0.005</v>
      </c>
      <c r="E275" s="51">
        <v>1</v>
      </c>
      <c r="F275" s="50">
        <f>SUM(B275*C275*D275*E275)</f>
        <v>0.485</v>
      </c>
      <c r="G275" s="50">
        <v>0</v>
      </c>
      <c r="H275" s="50">
        <f>SUM(F275:G275)</f>
        <v>0.485</v>
      </c>
      <c r="I275"/>
      <c r="J275"/>
      <c r="K275" s="52">
        <v>0</v>
      </c>
      <c r="L275" s="33" t="str">
        <f>'Materiálové hodnoty'!B81</f>
        <v>Sklená vata</v>
      </c>
      <c r="O275" s="34">
        <f>SUM($I$279*'Materiálové hodnoty'!$E81*'Materiálové hodnoty'!J81*$K275)</f>
        <v>0</v>
      </c>
      <c r="P275" s="34">
        <f>SUM($I$279*'Materiálové hodnoty'!$E81*'Materiálové hodnoty'!K81*$K275)</f>
        <v>0</v>
      </c>
      <c r="Q275" s="34">
        <f>SUM($I$279*'Materiálové hodnoty'!$E81*'Materiálové hodnoty'!L81*$K275)</f>
        <v>0</v>
      </c>
    </row>
    <row r="276" spans="2:17" ht="12.75">
      <c r="B276" s="50">
        <v>60</v>
      </c>
      <c r="C276" s="50">
        <v>1</v>
      </c>
      <c r="D276" s="64">
        <v>0.08</v>
      </c>
      <c r="E276" s="51">
        <v>1</v>
      </c>
      <c r="F276" s="50">
        <f>SUM(B276*C276*D276*E276)</f>
        <v>4.8</v>
      </c>
      <c r="G276" s="50">
        <v>0</v>
      </c>
      <c r="H276" s="50">
        <f>SUM(F276:G276)</f>
        <v>4.8</v>
      </c>
      <c r="K276" s="52">
        <v>0</v>
      </c>
      <c r="L276" s="33" t="str">
        <f>'Materiálové hodnoty'!B82</f>
        <v>Kamenná vlna</v>
      </c>
      <c r="O276" s="34">
        <f>SUM($I$279*'Materiálové hodnoty'!$E82*'Materiálové hodnoty'!J82*$K276)</f>
        <v>0</v>
      </c>
      <c r="P276" s="34">
        <f>SUM($I$279*'Materiálové hodnoty'!$E82*'Materiálové hodnoty'!K82*$K276)</f>
        <v>0</v>
      </c>
      <c r="Q276" s="34">
        <f>SUM($I$279*'Materiálové hodnoty'!$E82*'Materiálové hodnoty'!L82*$K276)</f>
        <v>0</v>
      </c>
    </row>
    <row r="277" spans="2:17" ht="12.75">
      <c r="B277" s="50">
        <v>0</v>
      </c>
      <c r="C277" s="50">
        <v>0</v>
      </c>
      <c r="D277" s="64">
        <v>0</v>
      </c>
      <c r="E277" s="51">
        <v>1</v>
      </c>
      <c r="F277" s="50">
        <f>SUM(B277*C277*D277*E277)</f>
        <v>0</v>
      </c>
      <c r="G277" s="50">
        <v>0</v>
      </c>
      <c r="H277" s="50">
        <f>SUM(F277:G277)</f>
        <v>0</v>
      </c>
      <c r="K277" s="52">
        <v>1</v>
      </c>
      <c r="L277" s="33" t="str">
        <f>'Materiálové hodnoty'!B83</f>
        <v>Drevovláknitá doska</v>
      </c>
      <c r="O277" s="34">
        <f>SUM($I$279*'Materiálové hodnoty'!$E83*'Materiálové hodnoty'!J83*$K277)</f>
        <v>18825.170000000002</v>
      </c>
      <c r="P277" s="34">
        <f>SUM($I$279*'Materiálové hodnoty'!$E83*'Materiálové hodnoty'!K83*$K277)</f>
        <v>-251.46030000000002</v>
      </c>
      <c r="Q277" s="34">
        <f>SUM($I$279*'Materiálové hodnoty'!$E83*'Materiálové hodnoty'!L83*$K277)</f>
        <v>9.453808000000002</v>
      </c>
    </row>
    <row r="278" spans="2:17" ht="12.75">
      <c r="B278" s="50">
        <v>0</v>
      </c>
      <c r="C278" s="50">
        <v>0</v>
      </c>
      <c r="D278" s="64">
        <v>0</v>
      </c>
      <c r="E278" s="51">
        <v>1</v>
      </c>
      <c r="F278" s="50">
        <f>SUM(B278*C278*D278*E278)</f>
        <v>0</v>
      </c>
      <c r="G278" s="50">
        <v>0</v>
      </c>
      <c r="H278" s="50">
        <f>SUM(F278:G278)</f>
        <v>0</v>
      </c>
      <c r="K278" s="52">
        <v>0</v>
      </c>
      <c r="L278" s="33" t="str">
        <f>'Materiálové hodnoty'!B84</f>
        <v>PE mäkká pena</v>
      </c>
      <c r="O278" s="34">
        <f>SUM($I$279*'Materiálové hodnoty'!$E84*'Materiálové hodnoty'!J84*$K278)</f>
        <v>0</v>
      </c>
      <c r="P278" s="34">
        <f>SUM($I$279*'Materiálové hodnoty'!$E84*'Materiálové hodnoty'!K84*$K278)</f>
        <v>0</v>
      </c>
      <c r="Q278" s="34">
        <f>SUM($I$279*'Materiálové hodnoty'!$E84*'Materiálové hodnoty'!L84*$K278)</f>
        <v>0</v>
      </c>
    </row>
    <row r="279" spans="2:17" ht="12.75">
      <c r="B279" s="50">
        <v>0</v>
      </c>
      <c r="C279" s="50">
        <v>0</v>
      </c>
      <c r="D279" s="64">
        <v>0</v>
      </c>
      <c r="E279" s="51">
        <v>1</v>
      </c>
      <c r="F279" s="50">
        <f>SUM(B279*C279*D279*E279)</f>
        <v>0</v>
      </c>
      <c r="G279" s="50">
        <v>0</v>
      </c>
      <c r="H279" s="50">
        <f>SUM(F279:G279)</f>
        <v>0</v>
      </c>
      <c r="I279" s="31">
        <f>SUM(H275:H279)</f>
        <v>5.285</v>
      </c>
      <c r="J279" s="32" t="s">
        <v>31</v>
      </c>
      <c r="K279" s="52">
        <v>0</v>
      </c>
      <c r="L279" s="33" t="str">
        <f>'Materiálové hodnoty'!B85</f>
        <v>Korok</v>
      </c>
      <c r="O279" s="34">
        <f>SUM($I$279*'Materiálové hodnoty'!$E85*'Materiálové hodnoty'!J85*$K279)</f>
        <v>0</v>
      </c>
      <c r="P279" s="34">
        <f>SUM($I$279*'Materiálové hodnoty'!$E85*'Materiálové hodnoty'!K85*$K279)</f>
        <v>0</v>
      </c>
      <c r="Q279" s="34">
        <f>SUM($I$279*'Materiálové hodnoty'!$E85*'Materiálové hodnoty'!L85*$K279)</f>
        <v>0</v>
      </c>
    </row>
    <row r="280" spans="4:11" ht="12.75">
      <c r="D280" s="65"/>
      <c r="K280" s="32"/>
    </row>
    <row r="281" spans="1:17" ht="12.75">
      <c r="A281" s="31" t="s">
        <v>54</v>
      </c>
      <c r="B281" s="47" t="s">
        <v>82</v>
      </c>
      <c r="C281" s="47" t="s">
        <v>61</v>
      </c>
      <c r="D281" s="47" t="s">
        <v>48</v>
      </c>
      <c r="E281" s="30" t="s">
        <v>26</v>
      </c>
      <c r="F281" s="47" t="s">
        <v>27</v>
      </c>
      <c r="G281" s="47" t="s">
        <v>28</v>
      </c>
      <c r="H281" s="47" t="s">
        <v>29</v>
      </c>
      <c r="I281" s="48" t="s">
        <v>30</v>
      </c>
      <c r="K281" s="52">
        <v>0</v>
      </c>
      <c r="L281" s="33" t="str">
        <f>'Materiálové hodnoty'!B99</f>
        <v>Sadrokartón protipožiarny</v>
      </c>
      <c r="O281" s="34">
        <f>SUM($I$294*'Materiálové hodnoty'!$E99*'Materiálové hodnoty'!J99*$K281)</f>
        <v>0</v>
      </c>
      <c r="P281" s="34">
        <f>SUM($I$294*'Materiálové hodnoty'!$E99*'Materiálové hodnoty'!K99*$K281)</f>
        <v>0</v>
      </c>
      <c r="Q281" s="34">
        <f>SUM($I$294*'Materiálové hodnoty'!$E99*'Materiálové hodnoty'!L99*$K281)</f>
        <v>0</v>
      </c>
    </row>
    <row r="282" spans="11:17" ht="12.75">
      <c r="K282" s="52">
        <v>0</v>
      </c>
      <c r="L282" s="33" t="str">
        <f>'Materiálové hodnoty'!B100</f>
        <v>Sadrokartón</v>
      </c>
      <c r="O282" s="34">
        <f>SUM($I$294*'Materiálové hodnoty'!$E100*'Materiálové hodnoty'!J100*$K282)</f>
        <v>0</v>
      </c>
      <c r="P282" s="34">
        <f>SUM($I$294*'Materiálové hodnoty'!$E100*'Materiálové hodnoty'!K100*$K282)</f>
        <v>0</v>
      </c>
      <c r="Q282" s="34">
        <f>SUM($I$294*'Materiálové hodnoty'!$E100*'Materiálové hodnoty'!L100*$K282)</f>
        <v>0</v>
      </c>
    </row>
    <row r="283" spans="11:17" ht="12.75">
      <c r="K283" s="52">
        <f>SUM(H285/I294)</f>
        <v>0.06388075592227842</v>
      </c>
      <c r="L283" s="33" t="str">
        <f>'Materiálové hodnoty'!B101</f>
        <v>Sadrovláknitá doska</v>
      </c>
      <c r="O283" s="34">
        <f>SUM($I$294*'Materiálové hodnoty'!$E101*'Materiálové hodnoty'!J101*$K283)</f>
        <v>3504.6000000000004</v>
      </c>
      <c r="P283" s="34">
        <f>SUM($I$294*'Materiálové hodnoty'!$E101*'Materiálové hodnoty'!K101*$K283)</f>
        <v>-10.62</v>
      </c>
      <c r="Q283" s="34">
        <f>SUM($I$294*'Materiálové hodnoty'!$E101*'Materiálové hodnoty'!L101*$K283)</f>
        <v>0.5522400000000001</v>
      </c>
    </row>
    <row r="284" spans="2:17" ht="12.75">
      <c r="B284" s="50">
        <v>351.7</v>
      </c>
      <c r="C284" s="50">
        <v>1</v>
      </c>
      <c r="D284" s="64">
        <v>0.025</v>
      </c>
      <c r="E284" s="51">
        <v>1</v>
      </c>
      <c r="F284" s="50">
        <f>SUM(B284*C284*D284*E284)</f>
        <v>8.7925</v>
      </c>
      <c r="G284" s="50">
        <v>0</v>
      </c>
      <c r="H284" s="50">
        <f>SUM(F284:G284)</f>
        <v>8.7925</v>
      </c>
      <c r="I284"/>
      <c r="J284"/>
      <c r="K284" s="52">
        <v>0</v>
      </c>
      <c r="L284" s="33" t="str">
        <f>'Materiálové hodnoty'!B102</f>
        <v>Anhydridová omietka</v>
      </c>
      <c r="O284" s="34">
        <f>SUM($I$294*'Materiálové hodnoty'!$E102*'Materiálové hodnoty'!J102*$K284)</f>
        <v>0</v>
      </c>
      <c r="P284" s="34">
        <f>SUM($I$294*'Materiálové hodnoty'!$E102*'Materiálové hodnoty'!K102*$K284)</f>
        <v>0</v>
      </c>
      <c r="Q284" s="34">
        <f>SUM($I$294*'Materiálové hodnoty'!$E102*'Materiálové hodnoty'!L102*$K284)</f>
        <v>0</v>
      </c>
    </row>
    <row r="285" spans="2:17" ht="12.75">
      <c r="B285" s="50">
        <v>60</v>
      </c>
      <c r="C285" s="50">
        <v>1</v>
      </c>
      <c r="D285" s="64">
        <v>0.01</v>
      </c>
      <c r="E285" s="51">
        <v>1</v>
      </c>
      <c r="F285" s="50">
        <f>SUM(B285*C285*D285*E285)</f>
        <v>0.6</v>
      </c>
      <c r="G285" s="50">
        <v>0</v>
      </c>
      <c r="H285" s="50">
        <f>SUM(F285:G285)</f>
        <v>0.6</v>
      </c>
      <c r="I285"/>
      <c r="J285"/>
      <c r="K285" s="52">
        <v>0</v>
      </c>
      <c r="L285" s="33" t="str">
        <f>'Materiálové hodnoty'!B103</f>
        <v>Vápenná omietka</v>
      </c>
      <c r="O285" s="34">
        <f>SUM($I$294*'Materiálové hodnoty'!$E103*'Materiálové hodnoty'!J103*$K285)</f>
        <v>0</v>
      </c>
      <c r="P285" s="34">
        <f>SUM($I$294*'Materiálové hodnoty'!$E103*'Materiálové hodnoty'!K103*$K285)</f>
        <v>0</v>
      </c>
      <c r="Q285" s="34">
        <f>SUM($I$294*'Materiálové hodnoty'!$E103*'Materiálové hodnoty'!L103*$K285)</f>
        <v>0</v>
      </c>
    </row>
    <row r="286" spans="2:17" ht="12.75">
      <c r="B286" s="50">
        <v>0</v>
      </c>
      <c r="C286" s="50">
        <v>0</v>
      </c>
      <c r="D286" s="64">
        <v>0</v>
      </c>
      <c r="E286" s="51">
        <v>1</v>
      </c>
      <c r="F286" s="50">
        <f>SUM(B286*C286*D286*E286)</f>
        <v>0</v>
      </c>
      <c r="G286" s="50">
        <v>0</v>
      </c>
      <c r="H286" s="50">
        <f>SUM(F286:G286)</f>
        <v>0</v>
      </c>
      <c r="I286"/>
      <c r="J286"/>
      <c r="K286" s="52">
        <v>0</v>
      </c>
      <c r="L286" s="33" t="str">
        <f>'Materiálové hodnoty'!B104</f>
        <v>Trass vápenná omietka</v>
      </c>
      <c r="O286" s="34">
        <f>SUM($I$294*'Materiálové hodnoty'!$E104*'Materiálové hodnoty'!J104*$K286)</f>
        <v>0</v>
      </c>
      <c r="P286" s="34">
        <f>SUM($I$294*'Materiálové hodnoty'!$E104*'Materiálové hodnoty'!K104*$K286)</f>
        <v>0</v>
      </c>
      <c r="Q286" s="34">
        <f>SUM($I$294*'Materiálové hodnoty'!$E104*'Materiálové hodnoty'!L104*$K286)</f>
        <v>0</v>
      </c>
    </row>
    <row r="287" spans="2:17" ht="12.75">
      <c r="B287" s="50">
        <v>0</v>
      </c>
      <c r="C287" s="50">
        <v>0</v>
      </c>
      <c r="D287" s="64">
        <v>0</v>
      </c>
      <c r="E287" s="51">
        <v>1</v>
      </c>
      <c r="F287" s="50">
        <f>SUM(B287*C287*D287*E287)</f>
        <v>0</v>
      </c>
      <c r="G287" s="50">
        <v>0</v>
      </c>
      <c r="H287" s="50">
        <f>SUM(F287:G287)</f>
        <v>0</v>
      </c>
      <c r="I287"/>
      <c r="J287"/>
      <c r="K287" s="52">
        <v>0</v>
      </c>
      <c r="L287" s="33" t="str">
        <f>'Materiálové hodnoty'!B105</f>
        <v>Vápennocementové omietky</v>
      </c>
      <c r="O287" s="34">
        <f>SUM($I$294*'Materiálové hodnoty'!$E105*'Materiálové hodnoty'!J105*$K287)</f>
        <v>0</v>
      </c>
      <c r="P287" s="34">
        <f>SUM($I$294*'Materiálové hodnoty'!$E105*'Materiálové hodnoty'!K105*$K287)</f>
        <v>0</v>
      </c>
      <c r="Q287" s="34">
        <f>SUM($I$294*'Materiálové hodnoty'!$E105*'Materiálové hodnoty'!L105*$K287)</f>
        <v>0</v>
      </c>
    </row>
    <row r="288" spans="2:17" ht="12.75">
      <c r="B288" s="50">
        <v>0</v>
      </c>
      <c r="C288" s="50">
        <v>0</v>
      </c>
      <c r="D288" s="64">
        <v>0</v>
      </c>
      <c r="E288" s="51">
        <v>1</v>
      </c>
      <c r="F288" s="50">
        <f>SUM(B288*C288*D288*E288)</f>
        <v>0</v>
      </c>
      <c r="G288" s="50">
        <v>0</v>
      </c>
      <c r="H288" s="50">
        <f>SUM(F288:G288)</f>
        <v>0</v>
      </c>
      <c r="I288"/>
      <c r="J288"/>
      <c r="K288" s="52">
        <v>0</v>
      </c>
      <c r="L288" s="33" t="str">
        <f>'Materiálové hodnoty'!B106</f>
        <v>Vápenno-sadrové omietky</v>
      </c>
      <c r="O288" s="34">
        <f>SUM($I$294*'Materiálové hodnoty'!$E106*'Materiálové hodnoty'!J106*$K288)</f>
        <v>0</v>
      </c>
      <c r="P288" s="34">
        <f>SUM($I$294*'Materiálové hodnoty'!$E106*'Materiálové hodnoty'!K106*$K288)</f>
        <v>0</v>
      </c>
      <c r="Q288" s="34">
        <f>SUM($I$294*'Materiálové hodnoty'!$E106*'Materiálové hodnoty'!L106*$K288)</f>
        <v>0</v>
      </c>
    </row>
    <row r="289" spans="2:17" ht="12.75">
      <c r="B289" s="50">
        <v>0</v>
      </c>
      <c r="C289" s="50">
        <v>0</v>
      </c>
      <c r="D289" s="64">
        <v>0</v>
      </c>
      <c r="E289" s="51">
        <v>1</v>
      </c>
      <c r="F289" s="50">
        <f>SUM(B289*C289*D289*E289)</f>
        <v>0</v>
      </c>
      <c r="G289" s="50">
        <v>0</v>
      </c>
      <c r="H289" s="50">
        <f>SUM(F289:G289)</f>
        <v>0</v>
      </c>
      <c r="K289" s="52">
        <v>0</v>
      </c>
      <c r="L289" s="33" t="str">
        <f>'Materiálové hodnoty'!B107</f>
        <v>Sadrové omietky</v>
      </c>
      <c r="O289" s="34">
        <f>SUM($I$294*'Materiálové hodnoty'!$E107*'Materiálové hodnoty'!J107*$K289)</f>
        <v>0</v>
      </c>
      <c r="P289" s="34">
        <f>SUM($I$294*'Materiálové hodnoty'!$E107*'Materiálové hodnoty'!K107*$K289)</f>
        <v>0</v>
      </c>
      <c r="Q289" s="34">
        <f>SUM($I$294*'Materiálové hodnoty'!$E107*'Materiálové hodnoty'!L107*$K289)</f>
        <v>0</v>
      </c>
    </row>
    <row r="290" spans="2:17" ht="12.75">
      <c r="B290" s="50">
        <v>0</v>
      </c>
      <c r="C290" s="50">
        <v>0</v>
      </c>
      <c r="D290" s="64">
        <v>0</v>
      </c>
      <c r="E290" s="51">
        <v>1</v>
      </c>
      <c r="F290" s="50">
        <f>SUM(B290*C290*D290*E290)</f>
        <v>0</v>
      </c>
      <c r="G290" s="50">
        <v>0</v>
      </c>
      <c r="H290" s="50">
        <f>SUM(F290:G290)</f>
        <v>0</v>
      </c>
      <c r="I290"/>
      <c r="J290"/>
      <c r="K290" s="52">
        <f>SUM(H284/I294)</f>
        <v>0.9361192440777216</v>
      </c>
      <c r="L290" s="33" t="str">
        <f>'Materiálové hodnoty'!B108</f>
        <v>Hlinené omietky</v>
      </c>
      <c r="O290" s="34">
        <f>SUM($I$294*'Materiálové hodnoty'!$E108*'Materiálové hodnoty'!J108*$K290)</f>
        <v>5381.01</v>
      </c>
      <c r="P290" s="34">
        <f>SUM($I$294*'Materiálové hodnoty'!$E108*'Materiálové hodnoty'!K108*$K290)</f>
        <v>-672.62625</v>
      </c>
      <c r="Q290" s="34">
        <f>SUM($I$294*'Materiálové hodnoty'!$E108*'Materiálové hodnoty'!L108*$K290)</f>
        <v>1.9431425000000002</v>
      </c>
    </row>
    <row r="291" spans="2:17" ht="12.75">
      <c r="B291" s="50">
        <v>0</v>
      </c>
      <c r="C291" s="50">
        <v>0</v>
      </c>
      <c r="D291" s="64">
        <v>0</v>
      </c>
      <c r="E291" s="51">
        <v>1</v>
      </c>
      <c r="F291" s="50">
        <f>SUM(B291*C291*D291*E291)</f>
        <v>0</v>
      </c>
      <c r="G291" s="50">
        <v>0</v>
      </c>
      <c r="H291" s="50">
        <f>SUM(F291:G291)</f>
        <v>0</v>
      </c>
      <c r="K291" s="52">
        <v>0</v>
      </c>
      <c r="L291" s="33" t="str">
        <f>'Materiálové hodnoty'!B109</f>
        <v>Cementový prednástrek</v>
      </c>
      <c r="O291" s="34">
        <f>SUM($I$294*'Materiálové hodnoty'!$E109*'Materiálové hodnoty'!J109*$K291)</f>
        <v>0</v>
      </c>
      <c r="P291" s="34">
        <f>SUM($I$294*'Materiálové hodnoty'!$E109*'Materiálové hodnoty'!K109*$K291)</f>
        <v>0</v>
      </c>
      <c r="Q291" s="34">
        <f>SUM($I$294*'Materiálové hodnoty'!$E109*'Materiálové hodnoty'!L109*$K291)</f>
        <v>0</v>
      </c>
    </row>
    <row r="292" spans="2:17" ht="12.75">
      <c r="B292" s="50">
        <v>0</v>
      </c>
      <c r="C292" s="50">
        <v>0</v>
      </c>
      <c r="D292" s="64">
        <v>0</v>
      </c>
      <c r="E292" s="51">
        <v>1</v>
      </c>
      <c r="F292" s="50">
        <f>SUM(B292*C292*D292*E292)</f>
        <v>0</v>
      </c>
      <c r="G292" s="50">
        <v>0</v>
      </c>
      <c r="H292" s="50">
        <f>SUM(F292:G292)</f>
        <v>0</v>
      </c>
      <c r="K292" s="52">
        <v>0</v>
      </c>
      <c r="L292" s="33" t="str">
        <f>'Materiálové hodnoty'!B110</f>
        <v>Trass-vápenný prednástrek</v>
      </c>
      <c r="O292" s="34">
        <f>SUM($I$294*'Materiálové hodnoty'!$E110*'Materiálové hodnoty'!J110*$K292)</f>
        <v>0</v>
      </c>
      <c r="P292" s="34">
        <f>SUM($I$294*'Materiálové hodnoty'!$E110*'Materiálové hodnoty'!K110*$K292)</f>
        <v>0</v>
      </c>
      <c r="Q292" s="34">
        <f>SUM($I$294*'Materiálové hodnoty'!$E110*'Materiálové hodnoty'!L110*$K292)</f>
        <v>0</v>
      </c>
    </row>
    <row r="293" spans="2:17" ht="12.75">
      <c r="B293" s="50">
        <v>0</v>
      </c>
      <c r="C293" s="50">
        <v>0</v>
      </c>
      <c r="D293" s="64">
        <v>0</v>
      </c>
      <c r="E293" s="51">
        <v>1</v>
      </c>
      <c r="F293" s="50">
        <f>SUM(B293*C293*D293*E293)</f>
        <v>0</v>
      </c>
      <c r="G293" s="50">
        <v>0</v>
      </c>
      <c r="H293" s="50">
        <f>SUM(F293:G293)</f>
        <v>0</v>
      </c>
      <c r="K293" s="52">
        <v>0</v>
      </c>
      <c r="L293" s="33" t="str">
        <f>'Materiálové hodnoty'!B111</f>
        <v>Priľnavostný nástrek 2mm</v>
      </c>
      <c r="O293" s="34">
        <f>SUM($I$294*'Materiálové hodnoty'!$E111*'Materiálové hodnoty'!J111*$K293)</f>
        <v>0</v>
      </c>
      <c r="P293" s="34">
        <f>SUM($I$294*'Materiálové hodnoty'!$E111*'Materiálové hodnoty'!K111*$K293)</f>
        <v>0</v>
      </c>
      <c r="Q293" s="34">
        <f>SUM($I$294*'Materiálové hodnoty'!$E111*'Materiálové hodnoty'!L111*$K293)</f>
        <v>0</v>
      </c>
    </row>
    <row r="294" spans="2:17" ht="12.75">
      <c r="B294" s="50">
        <v>0</v>
      </c>
      <c r="C294" s="50">
        <v>0</v>
      </c>
      <c r="D294" s="64">
        <v>0</v>
      </c>
      <c r="E294" s="51">
        <v>1</v>
      </c>
      <c r="F294" s="50">
        <f>SUM(B294*C294*D294*E294)</f>
        <v>0</v>
      </c>
      <c r="G294" s="50">
        <v>0</v>
      </c>
      <c r="H294" s="50">
        <f>SUM(F294:G294)</f>
        <v>0</v>
      </c>
      <c r="I294" s="31">
        <f>SUM(H284:H294)</f>
        <v>9.3925</v>
      </c>
      <c r="J294" s="32" t="s">
        <v>31</v>
      </c>
      <c r="K294" s="52">
        <v>0</v>
      </c>
      <c r="L294" s="33" t="str">
        <f>'Materiálové hodnoty'!B112</f>
        <v>Disperzia vodouriediteľná</v>
      </c>
      <c r="O294" s="34">
        <f>SUM($I$294*'Materiálové hodnoty'!$E112*'Materiálové hodnoty'!J112*$K294)</f>
        <v>0</v>
      </c>
      <c r="P294" s="34">
        <f>SUM($I$294*'Materiálové hodnoty'!$E112*'Materiálové hodnoty'!K112*$K294)</f>
        <v>0</v>
      </c>
      <c r="Q294" s="34">
        <f>SUM($I$294*'Materiálové hodnoty'!$E112*'Materiálové hodnoty'!L112*$K294)</f>
        <v>0</v>
      </c>
    </row>
    <row r="296" spans="1:17" ht="12.75">
      <c r="A296" s="31" t="s">
        <v>96</v>
      </c>
      <c r="B296" s="47" t="s">
        <v>82</v>
      </c>
      <c r="C296" s="47" t="s">
        <v>61</v>
      </c>
      <c r="D296" s="47" t="s">
        <v>48</v>
      </c>
      <c r="E296" s="30" t="s">
        <v>26</v>
      </c>
      <c r="F296" s="47" t="s">
        <v>27</v>
      </c>
      <c r="G296" s="47" t="s">
        <v>28</v>
      </c>
      <c r="H296" s="47" t="s">
        <v>29</v>
      </c>
      <c r="I296" s="48" t="s">
        <v>30</v>
      </c>
      <c r="K296" s="52">
        <v>0</v>
      </c>
      <c r="L296" s="33" t="str">
        <f>'Materiálové hodnoty'!B99</f>
        <v>Sadrokartón protipožiarny</v>
      </c>
      <c r="O296" s="34">
        <f>SUM($I$309*'Materiálové hodnoty'!$E99*'Materiálové hodnoty'!J99*$K296)</f>
        <v>0</v>
      </c>
      <c r="P296" s="34">
        <f>SUM($I$309*'Materiálové hodnoty'!$E99*'Materiálové hodnoty'!K99*$K296)</f>
        <v>0</v>
      </c>
      <c r="Q296" s="34">
        <f>SUM($I$309*'Materiálové hodnoty'!$E99*'Materiálové hodnoty'!L99*$K296)</f>
        <v>0</v>
      </c>
    </row>
    <row r="297" spans="11:17" ht="12.75">
      <c r="K297" s="52">
        <v>0</v>
      </c>
      <c r="L297" s="33" t="str">
        <f>'Materiálové hodnoty'!B100</f>
        <v>Sadrokartón</v>
      </c>
      <c r="O297" s="34">
        <f>SUM($I$309*'Materiálové hodnoty'!$E100*'Materiálové hodnoty'!J100*$K297)</f>
        <v>0</v>
      </c>
      <c r="P297" s="34">
        <f>SUM($I$309*'Materiálové hodnoty'!$E100*'Materiálové hodnoty'!K100*$K297)</f>
        <v>0</v>
      </c>
      <c r="Q297" s="34">
        <f>SUM($I$309*'Materiálové hodnoty'!$E100*'Materiálové hodnoty'!L100*$K297)</f>
        <v>0</v>
      </c>
    </row>
    <row r="298" spans="11:17" ht="12.75">
      <c r="K298" s="52">
        <v>0</v>
      </c>
      <c r="L298" s="33" t="str">
        <f>'Materiálové hodnoty'!B101</f>
        <v>Sadrovláknitá doska</v>
      </c>
      <c r="O298" s="34">
        <f>SUM($I$309*'Materiálové hodnoty'!$E101*'Materiálové hodnoty'!J101*$K298)</f>
        <v>0</v>
      </c>
      <c r="P298" s="34">
        <f>SUM($I$309*'Materiálové hodnoty'!$E101*'Materiálové hodnoty'!K101*$K298)</f>
        <v>0</v>
      </c>
      <c r="Q298" s="34">
        <f>SUM($I$309*'Materiálové hodnoty'!$E101*'Materiálové hodnoty'!L101*$K298)</f>
        <v>0</v>
      </c>
    </row>
    <row r="299" spans="2:17" ht="12.75">
      <c r="B299" s="50">
        <v>0</v>
      </c>
      <c r="C299" s="50">
        <v>0</v>
      </c>
      <c r="D299" s="64">
        <v>0</v>
      </c>
      <c r="E299" s="51">
        <v>0</v>
      </c>
      <c r="F299" s="50">
        <f>SUM(B299*C299*D299*E299)</f>
        <v>0</v>
      </c>
      <c r="G299" s="50">
        <v>0</v>
      </c>
      <c r="H299" s="50">
        <f>SUM(F299:G299)</f>
        <v>0</v>
      </c>
      <c r="I299"/>
      <c r="J299"/>
      <c r="K299" s="52">
        <v>0</v>
      </c>
      <c r="L299" s="33" t="str">
        <f>'Materiálové hodnoty'!B102</f>
        <v>Anhydridová omietka</v>
      </c>
      <c r="O299" s="34">
        <f>SUM($I$309*'Materiálové hodnoty'!$E102*'Materiálové hodnoty'!J102*$K299)</f>
        <v>0</v>
      </c>
      <c r="P299" s="34">
        <f>SUM($I$309*'Materiálové hodnoty'!$E102*'Materiálové hodnoty'!K102*$K299)</f>
        <v>0</v>
      </c>
      <c r="Q299" s="34">
        <f>SUM($I$309*'Materiálové hodnoty'!$E102*'Materiálové hodnoty'!L102*$K299)</f>
        <v>0</v>
      </c>
    </row>
    <row r="300" spans="2:17" ht="12.75">
      <c r="B300" s="50">
        <v>0</v>
      </c>
      <c r="C300" s="50">
        <v>0</v>
      </c>
      <c r="D300" s="64">
        <v>0</v>
      </c>
      <c r="E300" s="51">
        <v>1</v>
      </c>
      <c r="F300" s="50">
        <f>SUM(B300*C300*D300*E300)</f>
        <v>0</v>
      </c>
      <c r="G300" s="50">
        <v>0</v>
      </c>
      <c r="H300" s="50">
        <f>SUM(F300:G300)</f>
        <v>0</v>
      </c>
      <c r="I300"/>
      <c r="J300"/>
      <c r="K300" s="52">
        <v>0</v>
      </c>
      <c r="L300" s="33" t="str">
        <f>'Materiálové hodnoty'!B103</f>
        <v>Vápenná omietka</v>
      </c>
      <c r="O300" s="34">
        <f>SUM($I$309*'Materiálové hodnoty'!$E103*'Materiálové hodnoty'!J103*$K300)</f>
        <v>0</v>
      </c>
      <c r="P300" s="34">
        <f>SUM($I$309*'Materiálové hodnoty'!$E103*'Materiálové hodnoty'!K103*$K300)</f>
        <v>0</v>
      </c>
      <c r="Q300" s="34">
        <f>SUM($I$309*'Materiálové hodnoty'!$E103*'Materiálové hodnoty'!L103*$K300)</f>
        <v>0</v>
      </c>
    </row>
    <row r="301" spans="2:17" ht="12.75">
      <c r="B301" s="50">
        <v>0</v>
      </c>
      <c r="C301" s="50">
        <v>0</v>
      </c>
      <c r="D301" s="64">
        <v>0</v>
      </c>
      <c r="E301" s="51">
        <v>1</v>
      </c>
      <c r="F301" s="50">
        <f>SUM(B301*C301*D301*E301)</f>
        <v>0</v>
      </c>
      <c r="G301" s="50">
        <v>0</v>
      </c>
      <c r="H301" s="50">
        <f>SUM(F301:G301)</f>
        <v>0</v>
      </c>
      <c r="I301"/>
      <c r="J301"/>
      <c r="K301" s="52">
        <v>0</v>
      </c>
      <c r="L301" s="33" t="str">
        <f>'Materiálové hodnoty'!B104</f>
        <v>Trass vápenná omietka</v>
      </c>
      <c r="O301" s="34">
        <f>SUM($I$309*'Materiálové hodnoty'!$E104*'Materiálové hodnoty'!J104*$K301)</f>
        <v>0</v>
      </c>
      <c r="P301" s="34">
        <f>SUM($I$309*'Materiálové hodnoty'!$E104*'Materiálové hodnoty'!K104*$K301)</f>
        <v>0</v>
      </c>
      <c r="Q301" s="34">
        <f>SUM($I$309*'Materiálové hodnoty'!$E104*'Materiálové hodnoty'!L104*$K301)</f>
        <v>0</v>
      </c>
    </row>
    <row r="302" spans="2:17" ht="12.75">
      <c r="B302" s="50">
        <v>0</v>
      </c>
      <c r="C302" s="50">
        <v>0</v>
      </c>
      <c r="D302" s="64">
        <v>0</v>
      </c>
      <c r="E302" s="51">
        <v>1</v>
      </c>
      <c r="F302" s="50">
        <f>SUM(B302*C302*D302*E302)</f>
        <v>0</v>
      </c>
      <c r="G302" s="50">
        <v>0</v>
      </c>
      <c r="H302" s="50">
        <f>SUM(F302:G302)</f>
        <v>0</v>
      </c>
      <c r="I302"/>
      <c r="J302"/>
      <c r="K302" s="52">
        <v>0</v>
      </c>
      <c r="L302" s="33" t="str">
        <f>'Materiálové hodnoty'!B105</f>
        <v>Vápennocementové omietky</v>
      </c>
      <c r="O302" s="34">
        <f>SUM($I$309*'Materiálové hodnoty'!$E105*'Materiálové hodnoty'!J105*$K302)</f>
        <v>0</v>
      </c>
      <c r="P302" s="34">
        <f>SUM($I$309*'Materiálové hodnoty'!$E105*'Materiálové hodnoty'!K105*$K302)</f>
        <v>0</v>
      </c>
      <c r="Q302" s="34">
        <f>SUM($I$309*'Materiálové hodnoty'!$E105*'Materiálové hodnoty'!L105*$K302)</f>
        <v>0</v>
      </c>
    </row>
    <row r="303" spans="2:17" ht="12.75">
      <c r="B303" s="50">
        <v>0</v>
      </c>
      <c r="C303" s="50">
        <v>0</v>
      </c>
      <c r="D303" s="64">
        <v>0</v>
      </c>
      <c r="E303" s="51">
        <v>1</v>
      </c>
      <c r="F303" s="50">
        <f>SUM(B303*C303*D303*E303)</f>
        <v>0</v>
      </c>
      <c r="G303" s="50">
        <v>0</v>
      </c>
      <c r="H303" s="50">
        <f>SUM(F303:G303)</f>
        <v>0</v>
      </c>
      <c r="I303"/>
      <c r="J303"/>
      <c r="K303" s="52">
        <v>0</v>
      </c>
      <c r="L303" s="33" t="str">
        <f>'Materiálové hodnoty'!B106</f>
        <v>Vápenno-sadrové omietky</v>
      </c>
      <c r="O303" s="34">
        <f>SUM($I$309*'Materiálové hodnoty'!$E106*'Materiálové hodnoty'!J106*$K303)</f>
        <v>0</v>
      </c>
      <c r="P303" s="34">
        <f>SUM($I$309*'Materiálové hodnoty'!$E106*'Materiálové hodnoty'!K106*$K303)</f>
        <v>0</v>
      </c>
      <c r="Q303" s="34">
        <f>SUM($I$309*'Materiálové hodnoty'!$E106*'Materiálové hodnoty'!L106*$K303)</f>
        <v>0</v>
      </c>
    </row>
    <row r="304" spans="2:17" ht="12.75">
      <c r="B304" s="50">
        <v>0</v>
      </c>
      <c r="C304" s="50">
        <v>0</v>
      </c>
      <c r="D304" s="64">
        <v>0</v>
      </c>
      <c r="E304" s="51">
        <v>1</v>
      </c>
      <c r="F304" s="50">
        <f>SUM(B304*C304*D304*E304)</f>
        <v>0</v>
      </c>
      <c r="G304" s="50">
        <v>0</v>
      </c>
      <c r="H304" s="50">
        <f>SUM(F304:G304)</f>
        <v>0</v>
      </c>
      <c r="K304" s="52">
        <v>0</v>
      </c>
      <c r="L304" s="33" t="str">
        <f>'Materiálové hodnoty'!B107</f>
        <v>Sadrové omietky</v>
      </c>
      <c r="O304" s="34">
        <f>SUM($I$309*'Materiálové hodnoty'!$E107*'Materiálové hodnoty'!J107*$K304)</f>
        <v>0</v>
      </c>
      <c r="P304" s="34">
        <f>SUM($I$309*'Materiálové hodnoty'!$E107*'Materiálové hodnoty'!K107*$K304)</f>
        <v>0</v>
      </c>
      <c r="Q304" s="34">
        <f>SUM($I$309*'Materiálové hodnoty'!$E107*'Materiálové hodnoty'!L107*$K304)</f>
        <v>0</v>
      </c>
    </row>
    <row r="305" spans="2:17" ht="12.75">
      <c r="B305" s="50">
        <v>0</v>
      </c>
      <c r="C305" s="50">
        <v>0</v>
      </c>
      <c r="D305" s="64">
        <v>0</v>
      </c>
      <c r="E305" s="51">
        <v>1</v>
      </c>
      <c r="F305" s="50">
        <f>SUM(B305*C305*D305*E305)</f>
        <v>0</v>
      </c>
      <c r="G305" s="50">
        <v>0</v>
      </c>
      <c r="H305" s="50">
        <f>SUM(F305:G305)</f>
        <v>0</v>
      </c>
      <c r="I305"/>
      <c r="J305"/>
      <c r="K305" s="52">
        <v>0</v>
      </c>
      <c r="L305" s="33" t="str">
        <f>'Materiálové hodnoty'!B108</f>
        <v>Hlinené omietky</v>
      </c>
      <c r="O305" s="34">
        <f>SUM($I$309*'Materiálové hodnoty'!$E108*'Materiálové hodnoty'!J108*$K305)</f>
        <v>0</v>
      </c>
      <c r="P305" s="34">
        <f>SUM($I$309*'Materiálové hodnoty'!$E108*'Materiálové hodnoty'!K108*$K305)</f>
        <v>0</v>
      </c>
      <c r="Q305" s="34">
        <f>SUM($I$309*'Materiálové hodnoty'!$E108*'Materiálové hodnoty'!L108*$K305)</f>
        <v>0</v>
      </c>
    </row>
    <row r="306" spans="2:17" ht="12.75">
      <c r="B306" s="50">
        <v>0</v>
      </c>
      <c r="C306" s="50">
        <v>0</v>
      </c>
      <c r="D306" s="64">
        <v>0</v>
      </c>
      <c r="E306" s="51">
        <v>1</v>
      </c>
      <c r="F306" s="50">
        <f>SUM(B306*C306*D306*E306)</f>
        <v>0</v>
      </c>
      <c r="G306" s="50">
        <v>0</v>
      </c>
      <c r="H306" s="50">
        <f>SUM(F306:G306)</f>
        <v>0</v>
      </c>
      <c r="K306" s="52">
        <v>0</v>
      </c>
      <c r="L306" s="33" t="str">
        <f>'Materiálové hodnoty'!B109</f>
        <v>Cementový prednástrek</v>
      </c>
      <c r="O306" s="34">
        <f>SUM($I$309*'Materiálové hodnoty'!$E109*'Materiálové hodnoty'!J109*$K306)</f>
        <v>0</v>
      </c>
      <c r="P306" s="34">
        <f>SUM($I$309*'Materiálové hodnoty'!$E109*'Materiálové hodnoty'!K109*$K306)</f>
        <v>0</v>
      </c>
      <c r="Q306" s="34">
        <f>SUM($I$309*'Materiálové hodnoty'!$E109*'Materiálové hodnoty'!L109*$K306)</f>
        <v>0</v>
      </c>
    </row>
    <row r="307" spans="2:17" ht="12.75">
      <c r="B307" s="50">
        <v>0</v>
      </c>
      <c r="C307" s="50">
        <v>0</v>
      </c>
      <c r="D307" s="64">
        <v>0</v>
      </c>
      <c r="E307" s="51">
        <v>1</v>
      </c>
      <c r="F307" s="50">
        <f>SUM(B307*C307*D307*E307)</f>
        <v>0</v>
      </c>
      <c r="G307" s="50">
        <v>0</v>
      </c>
      <c r="H307" s="50">
        <f>SUM(F307:G307)</f>
        <v>0</v>
      </c>
      <c r="K307" s="52">
        <v>0</v>
      </c>
      <c r="L307" s="33" t="str">
        <f>'Materiálové hodnoty'!B110</f>
        <v>Trass-vápenný prednástrek</v>
      </c>
      <c r="O307" s="34">
        <f>SUM($I$309*'Materiálové hodnoty'!$E110*'Materiálové hodnoty'!J110*$K307)</f>
        <v>0</v>
      </c>
      <c r="P307" s="34">
        <f>SUM($I$309*'Materiálové hodnoty'!$E110*'Materiálové hodnoty'!K110*$K307)</f>
        <v>0</v>
      </c>
      <c r="Q307" s="34">
        <f>SUM($I$309*'Materiálové hodnoty'!$E110*'Materiálové hodnoty'!L110*$K307)</f>
        <v>0</v>
      </c>
    </row>
    <row r="308" spans="2:17" ht="12.75">
      <c r="B308" s="50">
        <v>0</v>
      </c>
      <c r="C308" s="50">
        <v>0</v>
      </c>
      <c r="D308" s="64">
        <v>0</v>
      </c>
      <c r="E308" s="51">
        <v>1</v>
      </c>
      <c r="F308" s="50">
        <f>SUM(B308*C308*D308*E308)</f>
        <v>0</v>
      </c>
      <c r="G308" s="50">
        <v>0</v>
      </c>
      <c r="H308" s="50">
        <f>SUM(F308:G308)</f>
        <v>0</v>
      </c>
      <c r="K308" s="52">
        <v>0</v>
      </c>
      <c r="L308" s="33" t="str">
        <f>'Materiálové hodnoty'!B111</f>
        <v>Priľnavostný nástrek 2mm</v>
      </c>
      <c r="O308" s="34">
        <f>SUM($I$309*'Materiálové hodnoty'!$E111*'Materiálové hodnoty'!J111*$K308)</f>
        <v>0</v>
      </c>
      <c r="P308" s="34">
        <f>SUM($I$309*'Materiálové hodnoty'!$E111*'Materiálové hodnoty'!K111*$K308)</f>
        <v>0</v>
      </c>
      <c r="Q308" s="34">
        <f>SUM($I$309*'Materiálové hodnoty'!$E111*'Materiálové hodnoty'!L111*$K308)</f>
        <v>0</v>
      </c>
    </row>
    <row r="309" spans="2:17" ht="12.75">
      <c r="B309" s="50">
        <v>0</v>
      </c>
      <c r="C309" s="50">
        <v>0</v>
      </c>
      <c r="D309" s="64">
        <v>0</v>
      </c>
      <c r="E309" s="51">
        <v>1</v>
      </c>
      <c r="F309" s="50">
        <f>SUM(B309*C309*D309*E309)</f>
        <v>0</v>
      </c>
      <c r="G309" s="50">
        <v>0</v>
      </c>
      <c r="H309" s="50">
        <f>SUM(F309:G309)</f>
        <v>0</v>
      </c>
      <c r="I309" s="31">
        <f>SUM(H299:H309)</f>
        <v>0</v>
      </c>
      <c r="J309" s="32" t="s">
        <v>31</v>
      </c>
      <c r="K309" s="52">
        <v>0</v>
      </c>
      <c r="L309" s="33" t="str">
        <f>'Materiálové hodnoty'!B112</f>
        <v>Disperzia vodouriediteľná</v>
      </c>
      <c r="O309" s="34">
        <f>SUM($I$309*'Materiálové hodnoty'!$E112*'Materiálové hodnoty'!J112*$K309)</f>
        <v>0</v>
      </c>
      <c r="P309" s="34">
        <f>SUM($I$309*'Materiálové hodnoty'!$E112*'Materiálové hodnoty'!K112*$K309)</f>
        <v>0</v>
      </c>
      <c r="Q309" s="34">
        <f>SUM($I$309*'Materiálové hodnoty'!$E112*'Materiálové hodnoty'!L112*$K309)</f>
        <v>0</v>
      </c>
    </row>
    <row r="312" spans="1:17" ht="15">
      <c r="A312" s="42" t="s">
        <v>97</v>
      </c>
      <c r="B312" s="43"/>
      <c r="C312" s="43"/>
      <c r="D312" s="43"/>
      <c r="E312" s="44"/>
      <c r="F312" s="43"/>
      <c r="G312" s="43"/>
      <c r="H312" s="43"/>
      <c r="I312" s="42"/>
      <c r="J312" s="42"/>
      <c r="K312" s="42"/>
      <c r="L312" s="45"/>
      <c r="M312" s="45"/>
      <c r="N312" s="45"/>
      <c r="O312" s="46">
        <f>SUM(O314:O329)</f>
        <v>20440.78</v>
      </c>
      <c r="P312" s="46">
        <f>SUM(P314:P329)</f>
        <v>948.0730000000001</v>
      </c>
      <c r="Q312" s="46">
        <f>SUM(Q314:Q329)</f>
        <v>4.316750000000001</v>
      </c>
    </row>
    <row r="314" spans="1:12" ht="12.75">
      <c r="A314" s="31" t="s">
        <v>98</v>
      </c>
      <c r="B314" s="47" t="s">
        <v>23</v>
      </c>
      <c r="C314" s="47" t="s">
        <v>24</v>
      </c>
      <c r="D314" s="47"/>
      <c r="E314" s="30" t="s">
        <v>26</v>
      </c>
      <c r="F314" s="47" t="s">
        <v>35</v>
      </c>
      <c r="G314" s="47" t="s">
        <v>28</v>
      </c>
      <c r="H314" s="47" t="s">
        <v>29</v>
      </c>
      <c r="I314" s="48" t="s">
        <v>30</v>
      </c>
      <c r="J314" s="49"/>
      <c r="K314" s="32"/>
      <c r="L314" s="66" t="s">
        <v>98</v>
      </c>
    </row>
    <row r="315" spans="1:17" ht="12.75">
      <c r="A315" s="58"/>
      <c r="B315" s="50">
        <v>31</v>
      </c>
      <c r="C315" s="50">
        <v>1</v>
      </c>
      <c r="D315" s="50"/>
      <c r="E315" s="51">
        <v>1</v>
      </c>
      <c r="F315" s="50">
        <f>SUM(B315*C315*E315)</f>
        <v>31</v>
      </c>
      <c r="G315" s="50">
        <v>0</v>
      </c>
      <c r="H315" s="50">
        <f>SUM(F315:G315)</f>
        <v>31</v>
      </c>
      <c r="K315" s="52">
        <v>1</v>
      </c>
      <c r="L315" s="33" t="str">
        <f>'Materiálové hodnoty'!B152</f>
        <v>3 Sklo 4mm povrchovo upravené</v>
      </c>
      <c r="O315" s="34">
        <f>SUM($I$318*'Materiálové hodnoty'!N152*$K315)</f>
        <v>15500</v>
      </c>
      <c r="P315" s="34">
        <f>SUM($I$318*'Materiálové hodnoty'!O152*$K315)</f>
        <v>1026.1000000000001</v>
      </c>
      <c r="Q315" s="34">
        <f>SUM($I$318*'Materiálové hodnoty'!P152*$K315)</f>
        <v>2.6536000000000004</v>
      </c>
    </row>
    <row r="316" spans="1:17" ht="12.75">
      <c r="A316" s="58"/>
      <c r="B316" s="50">
        <v>0</v>
      </c>
      <c r="C316" s="50">
        <v>1</v>
      </c>
      <c r="D316" s="50"/>
      <c r="E316" s="51">
        <v>1</v>
      </c>
      <c r="F316" s="50">
        <f>SUM(B316*C316*E316)</f>
        <v>0</v>
      </c>
      <c r="G316" s="50">
        <v>0</v>
      </c>
      <c r="H316" s="50">
        <f>SUM(F316:G316)</f>
        <v>0</v>
      </c>
      <c r="K316" s="52">
        <v>0</v>
      </c>
      <c r="L316" s="33" t="str">
        <f>'Materiálové hodnoty'!B153</f>
        <v>3 Sklo 6mm</v>
      </c>
      <c r="O316" s="34">
        <f>SUM($I$318*'Materiálové hodnoty'!N153*$K316)</f>
        <v>0</v>
      </c>
      <c r="P316" s="34">
        <f>SUM($I$318*'Materiálové hodnoty'!O153*$K316)</f>
        <v>0</v>
      </c>
      <c r="Q316" s="34">
        <f>SUM($I$318*'Materiálové hodnoty'!P153*$K316)</f>
        <v>0</v>
      </c>
    </row>
    <row r="317" spans="1:17" ht="12.75">
      <c r="A317" s="58"/>
      <c r="B317" s="50">
        <v>0</v>
      </c>
      <c r="C317" s="50">
        <v>0</v>
      </c>
      <c r="D317" s="50"/>
      <c r="E317" s="51">
        <v>1</v>
      </c>
      <c r="F317" s="50">
        <f>SUM(B317*C317*E317)</f>
        <v>0</v>
      </c>
      <c r="G317" s="50">
        <v>0</v>
      </c>
      <c r="H317" s="50">
        <f>SUM(F317:G317)</f>
        <v>0</v>
      </c>
      <c r="K317" s="52">
        <v>1</v>
      </c>
      <c r="L317" s="33" t="str">
        <f>'Materiálové hodnoty'!B154</f>
        <v>Argón 2 x 16mm</v>
      </c>
      <c r="O317" s="34">
        <f>SUM($I$318*'Materiálové hodnoty'!N154*$K317)</f>
        <v>5.58</v>
      </c>
      <c r="P317" s="34">
        <f>SUM($I$318*'Materiálové hodnoty'!O154*$K317)</f>
        <v>0.248</v>
      </c>
      <c r="Q317" s="34">
        <f>SUM($I$318*'Materiálové hodnoty'!P154*$K317)</f>
        <v>0.13640000000000002</v>
      </c>
    </row>
    <row r="318" spans="2:17" ht="12.75">
      <c r="B318" s="50">
        <v>0</v>
      </c>
      <c r="C318" s="50">
        <v>0</v>
      </c>
      <c r="D318" s="50"/>
      <c r="E318" s="51">
        <v>1</v>
      </c>
      <c r="F318" s="50">
        <f>SUM(B318*C318*E318)</f>
        <v>0</v>
      </c>
      <c r="G318" s="50">
        <v>0</v>
      </c>
      <c r="H318" s="50">
        <f>SUM(F318:G318)</f>
        <v>0</v>
      </c>
      <c r="I318" s="31">
        <f>SUM(H315:H319)</f>
        <v>31</v>
      </c>
      <c r="J318" s="32" t="s">
        <v>36</v>
      </c>
      <c r="K318" s="52">
        <v>0</v>
      </c>
      <c r="L318" s="33" t="str">
        <f>'Materiálové hodnoty'!B155</f>
        <v>Kryptón 2 x 12mm</v>
      </c>
      <c r="O318" s="34">
        <f>SUM($I$318*'Materiálové hodnoty'!N155*$K318)</f>
        <v>0</v>
      </c>
      <c r="P318" s="34">
        <f>SUM($I$318*'Materiálové hodnoty'!O155*$K318)</f>
        <v>0</v>
      </c>
      <c r="Q318" s="34">
        <f>SUM($I$318*'Materiálové hodnoty'!P155*$K318)</f>
        <v>0</v>
      </c>
    </row>
    <row r="319" spans="1:17" ht="12.75">
      <c r="A319" s="18"/>
      <c r="B319" s="18"/>
      <c r="C319" s="18"/>
      <c r="D319" s="18"/>
      <c r="E319" s="18"/>
      <c r="F319" s="18"/>
      <c r="G319" s="18"/>
      <c r="H319" s="18"/>
      <c r="I319" s="18"/>
      <c r="J319" s="18"/>
      <c r="K319" s="32"/>
      <c r="L319" s="67" t="s">
        <v>99</v>
      </c>
      <c r="M319" s="56"/>
      <c r="N319" s="56"/>
      <c r="O319" s="57"/>
      <c r="P319" s="57"/>
      <c r="Q319" s="57"/>
    </row>
    <row r="320" spans="11:17" ht="12.75">
      <c r="K320" s="52">
        <v>1</v>
      </c>
      <c r="L320" s="33" t="str">
        <f>'Materiálové hodnoty'!B157</f>
        <v>Drevené</v>
      </c>
      <c r="O320" s="34">
        <f>SUM($I$318*'Materiálové hodnoty'!N157*$K320)</f>
        <v>4898</v>
      </c>
      <c r="P320" s="34">
        <f>SUM($I$318*'Materiálové hodnoty'!O157*$K320)</f>
        <v>-80.60000000000001</v>
      </c>
      <c r="Q320" s="34">
        <f>SUM($I$318*'Materiálové hodnoty'!P157*$K320)</f>
        <v>1.395</v>
      </c>
    </row>
    <row r="321" spans="11:17" ht="12.75">
      <c r="K321" s="52">
        <v>0</v>
      </c>
      <c r="L321" s="33" t="str">
        <f>'Materiálové hodnoty'!B158</f>
        <v>Drevo s PUR jadrom</v>
      </c>
      <c r="O321" s="34">
        <f>SUM($I$318*'Materiálové hodnoty'!N158*$K321)</f>
        <v>0</v>
      </c>
      <c r="P321" s="34">
        <f>SUM($I$318*'Materiálové hodnoty'!O158*$K321)</f>
        <v>0</v>
      </c>
      <c r="Q321" s="34">
        <f>SUM($I$318*'Materiálové hodnoty'!P158*$K321)</f>
        <v>0</v>
      </c>
    </row>
    <row r="322" spans="11:17" ht="12.75">
      <c r="K322" s="52">
        <v>0</v>
      </c>
      <c r="L322" s="33" t="str">
        <f>'Materiálové hodnoty'!B159</f>
        <v>Drevo hlinikové</v>
      </c>
      <c r="O322" s="34">
        <f>SUM($I$318*'Materiálové hodnoty'!N159*$K322)</f>
        <v>0</v>
      </c>
      <c r="P322" s="34">
        <f>SUM($I$318*'Materiálové hodnoty'!O159*$K322)</f>
        <v>0</v>
      </c>
      <c r="Q322" s="34">
        <f>SUM($I$318*'Materiálové hodnoty'!P159*$K322)</f>
        <v>0</v>
      </c>
    </row>
    <row r="323" spans="11:17" ht="12.75">
      <c r="K323" s="52">
        <v>0</v>
      </c>
      <c r="L323" s="33" t="str">
        <f>'Materiálové hodnoty'!B160</f>
        <v>Drevo-hliník s jadrom z korku</v>
      </c>
      <c r="O323" s="34">
        <f>SUM($I$318*'Materiálové hodnoty'!N160*$K323)</f>
        <v>0</v>
      </c>
      <c r="P323" s="34">
        <f>SUM($I$318*'Materiálové hodnoty'!O160*$K323)</f>
        <v>0</v>
      </c>
      <c r="Q323" s="34">
        <f>SUM($I$318*'Materiálové hodnoty'!P160*$K323)</f>
        <v>0</v>
      </c>
    </row>
    <row r="324" spans="11:17" ht="12.75">
      <c r="K324" s="52">
        <v>0</v>
      </c>
      <c r="L324" s="33" t="str">
        <f>'Materiálové hodnoty'!B161</f>
        <v>Drevo-hliník s PUR </v>
      </c>
      <c r="O324" s="34">
        <f>SUM($I$318*'Materiálové hodnoty'!N161*$K324)</f>
        <v>0</v>
      </c>
      <c r="P324" s="34">
        <f>SUM($I$318*'Materiálové hodnoty'!O161*$K324)</f>
        <v>0</v>
      </c>
      <c r="Q324" s="34">
        <f>SUM($I$318*'Materiálové hodnoty'!P161*$K324)</f>
        <v>0</v>
      </c>
    </row>
    <row r="325" spans="11:17" ht="12.75">
      <c r="K325" s="52">
        <v>0</v>
      </c>
      <c r="L325" s="33" t="str">
        <f>'Materiálové hodnoty'!B162</f>
        <v>Plastové s PUR</v>
      </c>
      <c r="O325" s="34">
        <f>SUM($I$318*'Materiálové hodnoty'!N162*$K325)</f>
        <v>0</v>
      </c>
      <c r="P325" s="34">
        <f>SUM($I$318*'Materiálové hodnoty'!O162*$K325)</f>
        <v>0</v>
      </c>
      <c r="Q325" s="34">
        <f>SUM($I$318*'Materiálové hodnoty'!P162*$K325)</f>
        <v>0</v>
      </c>
    </row>
    <row r="326" spans="11:12" ht="12.75">
      <c r="K326" s="32"/>
      <c r="L326" s="66" t="str">
        <f>'Materiálové hodnoty'!B165</f>
        <v>Dištančné rámiky</v>
      </c>
    </row>
    <row r="327" spans="11:17" ht="12.75">
      <c r="K327" s="52">
        <v>0</v>
      </c>
      <c r="L327" s="33" t="str">
        <f>'Materiálové hodnoty'!B166</f>
        <v>Nerez 16mm</v>
      </c>
      <c r="O327" s="34">
        <f>SUM($I$318*'Materiálové hodnoty'!N166*$K327)</f>
        <v>0</v>
      </c>
      <c r="P327" s="34">
        <f>SUM($I$318*'Materiálové hodnoty'!O166*$K327)</f>
        <v>0</v>
      </c>
      <c r="Q327" s="34">
        <f>SUM($I$318*'Materiálové hodnoty'!P166*$K327)</f>
        <v>0</v>
      </c>
    </row>
    <row r="328" spans="11:17" ht="12.75">
      <c r="K328" s="52">
        <v>1</v>
      </c>
      <c r="L328" s="33" t="str">
        <f>'Materiálové hodnoty'!B167</f>
        <v>Thermix 16mm</v>
      </c>
      <c r="O328" s="34">
        <f>SUM($I$318*'Materiálové hodnoty'!N167*$K328)</f>
        <v>37.199999999999996</v>
      </c>
      <c r="P328" s="34">
        <f>SUM($I$318*'Materiálové hodnoty'!O167*$K328)</f>
        <v>2.325</v>
      </c>
      <c r="Q328" s="34">
        <f>SUM($I$318*'Materiálové hodnoty'!P167*$K328)</f>
        <v>0.13175</v>
      </c>
    </row>
  </sheetData>
  <sheetProtection/>
  <mergeCells count="1">
    <mergeCell ref="B1:H1"/>
  </mergeCells>
  <printOptions/>
  <pageMargins left="0.7875" right="0.7875" top="1.025" bottom="1.025" header="0.7875" footer="0.7875"/>
  <pageSetup fitToHeight="2" fitToWidth="1" horizontalDpi="300" verticalDpi="300" orientation="portrait" paperSize="9"/>
  <headerFooter alignWithMargins="0">
    <oddHeader>&amp;C&amp;A</oddHeader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8"/>
  <sheetViews>
    <sheetView zoomScale="64" zoomScaleNormal="64" workbookViewId="0" topLeftCell="A160">
      <selection activeCell="R145" sqref="R145"/>
    </sheetView>
  </sheetViews>
  <sheetFormatPr defaultColWidth="12.57421875" defaultRowHeight="12.75"/>
  <cols>
    <col min="1" max="1" width="20.28125" style="0" customWidth="1"/>
    <col min="2" max="4" width="8.140625" style="0" customWidth="1"/>
    <col min="5" max="5" width="6.57421875" style="30" customWidth="1"/>
    <col min="6" max="6" width="8.140625" style="0" customWidth="1"/>
    <col min="7" max="7" width="16.00390625" style="0" customWidth="1"/>
    <col min="8" max="8" width="9.28125" style="0" customWidth="1"/>
    <col min="9" max="9" width="10.28125" style="31" customWidth="1"/>
    <col min="10" max="10" width="4.28125" style="32" customWidth="1"/>
    <col min="11" max="11" width="6.140625" style="31" customWidth="1"/>
    <col min="12" max="12" width="37.00390625" style="33" customWidth="1"/>
    <col min="13" max="13" width="8.7109375" style="33" customWidth="1"/>
    <col min="14" max="14" width="6.00390625" style="33" customWidth="1"/>
    <col min="15" max="17" width="11.57421875" style="34" customWidth="1"/>
    <col min="18" max="16384" width="11.57421875" style="0" customWidth="1"/>
  </cols>
  <sheetData>
    <row r="1" spans="1:8" ht="21" customHeight="1">
      <c r="A1" s="35" t="s">
        <v>100</v>
      </c>
      <c r="B1" s="36" t="s">
        <v>101</v>
      </c>
      <c r="C1" s="36"/>
      <c r="D1" s="36"/>
      <c r="E1" s="36"/>
      <c r="F1" s="36"/>
      <c r="G1" s="36"/>
      <c r="H1" s="36"/>
    </row>
    <row r="3" spans="1:17" s="11" customFormat="1" ht="49.5">
      <c r="A3" s="11" t="s">
        <v>8</v>
      </c>
      <c r="B3" s="11" t="s">
        <v>14</v>
      </c>
      <c r="E3" s="37"/>
      <c r="I3" s="11" t="s">
        <v>15</v>
      </c>
      <c r="K3" s="38" t="s">
        <v>16</v>
      </c>
      <c r="L3" s="39" t="s">
        <v>17</v>
      </c>
      <c r="M3" s="40" t="s">
        <v>18</v>
      </c>
      <c r="N3" s="40"/>
      <c r="O3" s="41" t="s">
        <v>9</v>
      </c>
      <c r="P3" s="41" t="s">
        <v>19</v>
      </c>
      <c r="Q3" s="41" t="s">
        <v>20</v>
      </c>
    </row>
    <row r="5" spans="1:17" s="21" customFormat="1" ht="15">
      <c r="A5" s="42" t="s">
        <v>21</v>
      </c>
      <c r="B5" s="43"/>
      <c r="C5" s="43"/>
      <c r="D5" s="43"/>
      <c r="E5" s="44"/>
      <c r="F5" s="43"/>
      <c r="G5" s="43"/>
      <c r="H5" s="43"/>
      <c r="I5" s="42"/>
      <c r="J5" s="42"/>
      <c r="K5" s="42"/>
      <c r="L5" s="45"/>
      <c r="M5" s="45"/>
      <c r="N5" s="45"/>
      <c r="O5" s="46">
        <f>SUM(O7:O48)</f>
        <v>111433.99</v>
      </c>
      <c r="P5" s="46">
        <f>SUM(P7:P48)</f>
        <v>13072.118400000001</v>
      </c>
      <c r="Q5" s="46">
        <f>SUM(Q7:Q48)</f>
        <v>42.199480400000006</v>
      </c>
    </row>
    <row r="7" spans="1:11" ht="12.75">
      <c r="A7" t="s">
        <v>22</v>
      </c>
      <c r="B7" s="47" t="s">
        <v>23</v>
      </c>
      <c r="C7" s="47" t="s">
        <v>24</v>
      </c>
      <c r="D7" s="47" t="s">
        <v>25</v>
      </c>
      <c r="E7" s="30" t="s">
        <v>26</v>
      </c>
      <c r="F7" s="47" t="s">
        <v>27</v>
      </c>
      <c r="G7" s="47" t="s">
        <v>28</v>
      </c>
      <c r="H7" s="47" t="s">
        <v>29</v>
      </c>
      <c r="I7" s="48" t="s">
        <v>30</v>
      </c>
      <c r="J7" s="49"/>
      <c r="K7" s="48"/>
    </row>
    <row r="8" spans="2:8" ht="12.75">
      <c r="B8" s="50">
        <v>0</v>
      </c>
      <c r="C8" s="50">
        <v>0</v>
      </c>
      <c r="D8" s="50">
        <v>0</v>
      </c>
      <c r="E8" s="51">
        <v>1</v>
      </c>
      <c r="F8" s="50">
        <f>SUM(B8*C8*D8*E8)</f>
        <v>0</v>
      </c>
      <c r="G8" s="50">
        <v>50</v>
      </c>
      <c r="H8" s="50">
        <f>SUM(F8:G8)</f>
        <v>50</v>
      </c>
    </row>
    <row r="9" spans="2:8" ht="12.75">
      <c r="B9" s="50">
        <v>45.5</v>
      </c>
      <c r="C9" s="50">
        <v>0.8</v>
      </c>
      <c r="D9" s="50">
        <v>1.5</v>
      </c>
      <c r="E9" s="51">
        <v>1</v>
      </c>
      <c r="F9" s="50">
        <f>SUM(B9*C9*D9*E9)</f>
        <v>54.599999999999994</v>
      </c>
      <c r="G9" s="50">
        <v>0</v>
      </c>
      <c r="H9" s="50">
        <f>SUM(F9:G9)</f>
        <v>54.599999999999994</v>
      </c>
    </row>
    <row r="10" spans="2:12" ht="12.75">
      <c r="B10" s="50">
        <v>3.75</v>
      </c>
      <c r="C10" s="50">
        <v>0.8</v>
      </c>
      <c r="D10" s="50">
        <v>1.5</v>
      </c>
      <c r="E10" s="51">
        <v>1</v>
      </c>
      <c r="F10" s="50">
        <f>SUM(B10*C10*D10*E10)</f>
        <v>4.5</v>
      </c>
      <c r="G10" s="50">
        <v>0</v>
      </c>
      <c r="H10" s="50">
        <f>SUM(F10:G10)</f>
        <v>4.5</v>
      </c>
      <c r="I10" s="31">
        <f>SUM(H8:H10)</f>
        <v>109.1</v>
      </c>
      <c r="J10" s="32" t="s">
        <v>31</v>
      </c>
      <c r="K10" s="52">
        <v>1</v>
      </c>
      <c r="L10" s="33" t="s">
        <v>32</v>
      </c>
    </row>
    <row r="11" spans="2:8" ht="12.75">
      <c r="B11" s="18"/>
      <c r="C11" s="18"/>
      <c r="D11" s="18"/>
      <c r="E11" s="53"/>
      <c r="F11" s="18"/>
      <c r="G11" s="18"/>
      <c r="H11" s="18"/>
    </row>
    <row r="12" spans="1:11" ht="12.75">
      <c r="A12" t="s">
        <v>33</v>
      </c>
      <c r="B12" s="47" t="s">
        <v>23</v>
      </c>
      <c r="C12" s="47" t="s">
        <v>24</v>
      </c>
      <c r="D12" s="47" t="s">
        <v>25</v>
      </c>
      <c r="E12" s="30" t="s">
        <v>26</v>
      </c>
      <c r="F12" s="47" t="s">
        <v>27</v>
      </c>
      <c r="G12" s="47" t="s">
        <v>28</v>
      </c>
      <c r="H12" s="47" t="s">
        <v>29</v>
      </c>
      <c r="I12" s="48" t="s">
        <v>30</v>
      </c>
      <c r="J12" s="49"/>
      <c r="K12" s="48"/>
    </row>
    <row r="13" spans="2:8" ht="12.75">
      <c r="B13" s="50">
        <v>94.5</v>
      </c>
      <c r="C13" s="50">
        <v>1</v>
      </c>
      <c r="D13" s="50">
        <v>0.2</v>
      </c>
      <c r="E13" s="51">
        <v>1</v>
      </c>
      <c r="F13" s="50">
        <f>SUM(B13*C13*D13*E13)</f>
        <v>18.900000000000002</v>
      </c>
      <c r="G13" s="50">
        <v>13</v>
      </c>
      <c r="H13" s="50">
        <f>SUM(F13:G13)</f>
        <v>31.900000000000002</v>
      </c>
    </row>
    <row r="14" spans="2:8" ht="12.75">
      <c r="B14" s="50">
        <v>45.5</v>
      </c>
      <c r="C14" s="50">
        <v>0.4</v>
      </c>
      <c r="D14" s="50">
        <v>0.2</v>
      </c>
      <c r="E14" s="51">
        <v>-1</v>
      </c>
      <c r="F14" s="50">
        <f>SUM(B14*C14*D14*E14)</f>
        <v>-3.64</v>
      </c>
      <c r="G14" s="50"/>
      <c r="H14" s="50">
        <f>SUM(F14:G14)</f>
        <v>-3.64</v>
      </c>
    </row>
    <row r="15" spans="2:17" ht="12.75">
      <c r="B15" s="50">
        <v>3.75</v>
      </c>
      <c r="C15" s="50">
        <v>0.4</v>
      </c>
      <c r="D15" s="50">
        <v>0.2</v>
      </c>
      <c r="E15" s="51">
        <v>-1</v>
      </c>
      <c r="F15" s="50">
        <f>SUM(B15*C15*D15*E15)</f>
        <v>-0.30000000000000004</v>
      </c>
      <c r="G15" s="50">
        <v>0</v>
      </c>
      <c r="H15" s="50">
        <f>SUM(F15:G15)</f>
        <v>-0.30000000000000004</v>
      </c>
      <c r="I15" s="31">
        <f>SUM(H13:H15)</f>
        <v>27.96</v>
      </c>
      <c r="J15" s="32" t="s">
        <v>31</v>
      </c>
      <c r="K15" s="52">
        <v>1</v>
      </c>
      <c r="L15" s="33" t="str">
        <f>('Materiálové hodnoty'!B5)</f>
        <v>Štrk</v>
      </c>
      <c r="O15" s="34">
        <f>SUM($I$15*'Materiálové hodnoty'!$E$5*'Materiálové hodnoty'!J5*$K$15)</f>
        <v>4026.2400000000002</v>
      </c>
      <c r="P15" s="34">
        <f>SUM($I$15*'Materiálové hodnoty'!$E$5*'Materiálové hodnoty'!K5*$K$15)</f>
        <v>201.312</v>
      </c>
      <c r="Q15" s="34">
        <f>SUM($I$15*'Materiálové hodnoty'!$E$5*'Materiálové hodnoty'!L5*$K$15)</f>
        <v>2.5164</v>
      </c>
    </row>
    <row r="16" spans="2:8" ht="12.75">
      <c r="B16" s="18"/>
      <c r="C16" s="18"/>
      <c r="D16" s="18"/>
      <c r="E16" s="53"/>
      <c r="F16" s="18"/>
      <c r="G16" s="18"/>
      <c r="H16" s="18"/>
    </row>
    <row r="17" spans="1:11" ht="12.75">
      <c r="A17" t="s">
        <v>34</v>
      </c>
      <c r="B17" s="47" t="s">
        <v>23</v>
      </c>
      <c r="C17" s="47" t="s">
        <v>24</v>
      </c>
      <c r="D17" s="47"/>
      <c r="E17" s="30" t="s">
        <v>26</v>
      </c>
      <c r="F17" s="47" t="s">
        <v>35</v>
      </c>
      <c r="G17" s="47" t="s">
        <v>28</v>
      </c>
      <c r="H17" s="47" t="s">
        <v>29</v>
      </c>
      <c r="I17" s="48" t="s">
        <v>30</v>
      </c>
      <c r="J17" s="49"/>
      <c r="K17" s="48"/>
    </row>
    <row r="18" spans="2:8" ht="12.75">
      <c r="B18" s="50">
        <v>0</v>
      </c>
      <c r="C18" s="50">
        <v>0</v>
      </c>
      <c r="D18" s="50"/>
      <c r="E18" s="51">
        <v>1</v>
      </c>
      <c r="F18" s="50">
        <f>SUM(B18*C18*E18)</f>
        <v>0</v>
      </c>
      <c r="G18" s="50">
        <v>0</v>
      </c>
      <c r="H18" s="50">
        <v>0</v>
      </c>
    </row>
    <row r="19" spans="2:8" ht="12.75">
      <c r="B19" s="50">
        <v>0</v>
      </c>
      <c r="C19" s="50">
        <v>0</v>
      </c>
      <c r="D19" s="50"/>
      <c r="E19" s="51">
        <v>1</v>
      </c>
      <c r="F19" s="50">
        <f>SUM(B19*C19*E19)</f>
        <v>0</v>
      </c>
      <c r="G19" s="50">
        <v>0</v>
      </c>
      <c r="H19" s="50">
        <f>SUM(F19:G19)</f>
        <v>0</v>
      </c>
    </row>
    <row r="20" spans="2:17" ht="12.75">
      <c r="B20" s="50">
        <v>0</v>
      </c>
      <c r="C20" s="50">
        <v>0</v>
      </c>
      <c r="D20" s="50"/>
      <c r="E20" s="51">
        <v>1</v>
      </c>
      <c r="F20" s="50">
        <f>SUM(B20*C20*E20)</f>
        <v>0</v>
      </c>
      <c r="G20" s="50">
        <v>0</v>
      </c>
      <c r="H20" s="50">
        <f>SUM(F20:G20)</f>
        <v>0</v>
      </c>
      <c r="I20" s="31">
        <f>SUM(H18:H20)</f>
        <v>0</v>
      </c>
      <c r="J20" s="32" t="s">
        <v>36</v>
      </c>
      <c r="K20" s="52">
        <v>0</v>
      </c>
      <c r="L20" s="33" t="str">
        <f>('Materiálové hodnoty'!B140)</f>
        <v>Geotextília</v>
      </c>
      <c r="M20" s="54">
        <v>150</v>
      </c>
      <c r="N20" s="33" t="s">
        <v>37</v>
      </c>
      <c r="O20" s="34">
        <f>SUM('Materiálové hodnoty'!J140*$M$20*0.001*$I$20*$K$20)</f>
        <v>0</v>
      </c>
      <c r="P20" s="34">
        <f>SUM('Materiálové hodnoty'!K140*$M$20*0.001*$I$20*$K$20)</f>
        <v>0</v>
      </c>
      <c r="Q20" s="34">
        <f>SUM('Materiálové hodnoty'!L140*$M$20*0.001*$I$20*$K$20)</f>
        <v>0</v>
      </c>
    </row>
    <row r="22" spans="1:11" ht="12.75">
      <c r="A22" t="s">
        <v>38</v>
      </c>
      <c r="B22" s="47" t="s">
        <v>23</v>
      </c>
      <c r="C22" s="47" t="s">
        <v>24</v>
      </c>
      <c r="D22" s="47" t="s">
        <v>25</v>
      </c>
      <c r="E22" s="30" t="s">
        <v>26</v>
      </c>
      <c r="F22" s="47" t="s">
        <v>27</v>
      </c>
      <c r="G22" s="47" t="s">
        <v>28</v>
      </c>
      <c r="H22" s="47" t="s">
        <v>29</v>
      </c>
      <c r="I22" s="48" t="s">
        <v>30</v>
      </c>
      <c r="J22" s="49"/>
      <c r="K22" s="48"/>
    </row>
    <row r="23" spans="2:8" ht="12.75">
      <c r="B23" s="50">
        <v>49.25</v>
      </c>
      <c r="C23" s="50">
        <v>0.8</v>
      </c>
      <c r="D23" s="50">
        <v>0.5</v>
      </c>
      <c r="E23" s="51">
        <v>1</v>
      </c>
      <c r="F23" s="50">
        <f>SUM(B23*C23*D23*E23)</f>
        <v>19.700000000000003</v>
      </c>
      <c r="G23" s="50">
        <v>0</v>
      </c>
      <c r="H23" s="50">
        <f>SUM(F23:G23)</f>
        <v>19.700000000000003</v>
      </c>
    </row>
    <row r="24" spans="2:8" ht="12.75">
      <c r="B24" s="50">
        <v>0</v>
      </c>
      <c r="C24" s="50">
        <v>0</v>
      </c>
      <c r="D24" s="50">
        <v>0</v>
      </c>
      <c r="E24" s="51">
        <v>1</v>
      </c>
      <c r="F24" s="50">
        <f>SUM(B24*C24*D24*E24)</f>
        <v>0</v>
      </c>
      <c r="G24" s="50">
        <v>0</v>
      </c>
      <c r="H24" s="50">
        <f>SUM(F24:G24)</f>
        <v>0</v>
      </c>
    </row>
    <row r="25" spans="2:17" ht="12.75">
      <c r="B25" s="50">
        <v>0</v>
      </c>
      <c r="C25" s="50">
        <v>0</v>
      </c>
      <c r="D25" s="50">
        <v>0</v>
      </c>
      <c r="E25" s="51">
        <v>1</v>
      </c>
      <c r="F25" s="50">
        <f>SUM(B25*C25*D25*E25)</f>
        <v>0</v>
      </c>
      <c r="G25" s="50">
        <v>0</v>
      </c>
      <c r="H25" s="50">
        <f>SUM(F25:G25)</f>
        <v>0</v>
      </c>
      <c r="I25" s="31">
        <f>SUM(H23:H25)</f>
        <v>19.700000000000003</v>
      </c>
      <c r="J25" s="32" t="s">
        <v>31</v>
      </c>
      <c r="K25" s="52">
        <v>1</v>
      </c>
      <c r="L25" s="33" t="str">
        <f>('Materiálové hodnoty'!B14)</f>
        <v>Normalný betón (bez armovania)</v>
      </c>
      <c r="O25" s="34">
        <f>SUM($I$25*'Materiálové hodnoty'!$E$14*'Materiálové hodnoty'!J14*$K$25)</f>
        <v>31218.590000000007</v>
      </c>
      <c r="P25" s="34">
        <f>SUM($I$25*'Materiálové hodnoty'!$E$14*'Materiálové hodnoty'!K14*$K$25)</f>
        <v>4666.930000000001</v>
      </c>
      <c r="Q25" s="34">
        <f>SUM($I$25*'Materiálové hodnoty'!$E$14*'Materiálové hodnoty'!L14*$K$25)</f>
        <v>10.82909</v>
      </c>
    </row>
    <row r="26" spans="2:11" ht="12.75">
      <c r="B26" s="50"/>
      <c r="C26" s="50"/>
      <c r="D26" s="50"/>
      <c r="E26" s="51"/>
      <c r="F26" s="50"/>
      <c r="G26" s="50"/>
      <c r="H26" s="50"/>
      <c r="K26" s="52"/>
    </row>
    <row r="27" spans="1:11" ht="12.75">
      <c r="A27" t="s">
        <v>39</v>
      </c>
      <c r="B27" s="47" t="s">
        <v>23</v>
      </c>
      <c r="C27" s="47" t="s">
        <v>24</v>
      </c>
      <c r="D27" s="47" t="s">
        <v>25</v>
      </c>
      <c r="E27" s="30" t="s">
        <v>26</v>
      </c>
      <c r="F27" s="47" t="s">
        <v>27</v>
      </c>
      <c r="G27" s="47" t="s">
        <v>28</v>
      </c>
      <c r="H27" s="47" t="s">
        <v>29</v>
      </c>
      <c r="I27" s="48" t="s">
        <v>30</v>
      </c>
      <c r="J27" s="49"/>
      <c r="K27" s="48"/>
    </row>
    <row r="28" spans="2:8" ht="12.75">
      <c r="B28" s="50">
        <v>49.25</v>
      </c>
      <c r="C28" s="50">
        <v>0.4</v>
      </c>
      <c r="D28" s="50">
        <v>1</v>
      </c>
      <c r="E28" s="51">
        <v>1</v>
      </c>
      <c r="F28" s="50">
        <f>SUM(B28*C28*D28*E28)</f>
        <v>19.700000000000003</v>
      </c>
      <c r="G28" s="50">
        <v>0</v>
      </c>
      <c r="H28" s="50">
        <f>SUM(F28:G28)</f>
        <v>19.700000000000003</v>
      </c>
    </row>
    <row r="29" spans="2:8" ht="12.75">
      <c r="B29" s="50">
        <v>0</v>
      </c>
      <c r="C29" s="50">
        <v>0</v>
      </c>
      <c r="D29" s="50">
        <v>0</v>
      </c>
      <c r="E29" s="51">
        <v>1</v>
      </c>
      <c r="F29" s="50">
        <f>SUM(B29*C29*D29*E29)</f>
        <v>0</v>
      </c>
      <c r="G29" s="50">
        <v>0</v>
      </c>
      <c r="H29" s="50">
        <f>SUM(F29:G29)</f>
        <v>0</v>
      </c>
    </row>
    <row r="30" spans="2:17" ht="12.75">
      <c r="B30" s="50">
        <v>0</v>
      </c>
      <c r="C30" s="50">
        <v>0</v>
      </c>
      <c r="D30" s="50">
        <v>0</v>
      </c>
      <c r="E30" s="51">
        <v>1</v>
      </c>
      <c r="F30" s="50">
        <f>SUM(B30*C30*D30*E30)</f>
        <v>0</v>
      </c>
      <c r="G30" s="50">
        <v>0</v>
      </c>
      <c r="H30" s="50">
        <f>SUM(F30:G30)</f>
        <v>0</v>
      </c>
      <c r="I30" s="31">
        <f>SUM(H28:H30)</f>
        <v>19.700000000000003</v>
      </c>
      <c r="J30" s="32" t="s">
        <v>31</v>
      </c>
      <c r="K30" s="52">
        <v>1</v>
      </c>
      <c r="L30" s="33" t="str">
        <f>('Materiálové hodnoty'!B16)</f>
        <v>Betónové šalovacie tvárnice (bez jadra)</v>
      </c>
      <c r="O30" s="34">
        <f>SUM($I$30*'Materiálové hodnoty'!$E$16*'Materiálové hodnoty'!J16*$K30)</f>
        <v>20614.08</v>
      </c>
      <c r="P30" s="34">
        <f>SUM($I$30*'Materiálové hodnoty'!$E$16*'Materiálové hodnoty'!K16*$K30)</f>
        <v>3191.4000000000005</v>
      </c>
      <c r="Q30" s="34">
        <f>SUM($I$30*'Materiálové hodnoty'!$E$16*'Materiálové hodnoty'!L16*$K30)</f>
        <v>10.117920000000002</v>
      </c>
    </row>
    <row r="32" spans="1:11" ht="12.75">
      <c r="A32" t="s">
        <v>40</v>
      </c>
      <c r="B32" s="47" t="s">
        <v>23</v>
      </c>
      <c r="C32" s="47" t="s">
        <v>24</v>
      </c>
      <c r="D32" s="47" t="s">
        <v>25</v>
      </c>
      <c r="E32" s="30" t="s">
        <v>26</v>
      </c>
      <c r="F32" s="47" t="s">
        <v>27</v>
      </c>
      <c r="G32" s="47" t="s">
        <v>28</v>
      </c>
      <c r="H32" s="47" t="s">
        <v>29</v>
      </c>
      <c r="I32" s="48" t="s">
        <v>30</v>
      </c>
      <c r="J32" s="49"/>
      <c r="K32" s="48"/>
    </row>
    <row r="33" spans="2:8" ht="12.75">
      <c r="B33" s="50">
        <v>94.5</v>
      </c>
      <c r="C33" s="50">
        <v>1</v>
      </c>
      <c r="D33" s="50">
        <v>0.12</v>
      </c>
      <c r="E33" s="51">
        <v>1</v>
      </c>
      <c r="F33" s="50">
        <f>SUM(B33*C33*D33*E33)</f>
        <v>11.34</v>
      </c>
      <c r="G33" s="50">
        <v>0</v>
      </c>
      <c r="H33" s="50">
        <f>SUM(F33:G33)</f>
        <v>11.34</v>
      </c>
    </row>
    <row r="34" spans="2:8" ht="12.75">
      <c r="B34" s="50">
        <v>7.2</v>
      </c>
      <c r="C34" s="50">
        <v>1</v>
      </c>
      <c r="D34" s="50">
        <v>0.12</v>
      </c>
      <c r="E34" s="51">
        <v>1</v>
      </c>
      <c r="F34" s="50">
        <f>SUM(B34*C34*D34*E34)</f>
        <v>0.864</v>
      </c>
      <c r="G34" s="50">
        <v>0</v>
      </c>
      <c r="H34" s="50">
        <f>SUM(F34:G34)</f>
        <v>0.864</v>
      </c>
    </row>
    <row r="35" spans="2:17" ht="12.75">
      <c r="B35" s="50">
        <v>0</v>
      </c>
      <c r="C35" s="50">
        <v>0</v>
      </c>
      <c r="D35" s="50">
        <v>0</v>
      </c>
      <c r="E35" s="51">
        <v>1</v>
      </c>
      <c r="F35" s="50">
        <f>SUM(B35*C35*D35*E35)</f>
        <v>0</v>
      </c>
      <c r="G35" s="50">
        <v>0</v>
      </c>
      <c r="H35" s="50">
        <f>SUM(F35:G35)</f>
        <v>0</v>
      </c>
      <c r="I35" s="31">
        <f>SUM(H33:H35)</f>
        <v>12.204</v>
      </c>
      <c r="J35" s="32" t="s">
        <v>31</v>
      </c>
      <c r="K35" s="52">
        <v>1</v>
      </c>
      <c r="L35" s="33" t="str">
        <f>('Materiálové hodnoty'!B17)</f>
        <v>Železobetón</v>
      </c>
      <c r="O35" s="34">
        <f>SUM($I$35*'Materiálové hodnoty'!$E$17*'Materiálové hodnoty'!J17*$K$35)</f>
        <v>34268.832</v>
      </c>
      <c r="P35" s="34">
        <f>SUM($I$35*'Materiálové hodnoty'!$E$17*'Materiálové hodnoty'!K17*$K$35)</f>
        <v>4481.308800000001</v>
      </c>
      <c r="Q35" s="34">
        <f>SUM($I$35*'Materiálové hodnoty'!$E$17*'Materiálové hodnoty'!L17*$K$35)</f>
        <v>15.2598816</v>
      </c>
    </row>
    <row r="36" spans="9:17" ht="12.75">
      <c r="I36" s="52">
        <v>0.7</v>
      </c>
      <c r="J36" s="32" t="s">
        <v>41</v>
      </c>
      <c r="K36" s="52">
        <v>0</v>
      </c>
      <c r="L36" s="33" t="s">
        <v>42</v>
      </c>
      <c r="M36" s="55">
        <f>SUM(I35*I36/100*7800*K36)</f>
        <v>0</v>
      </c>
      <c r="N36" s="33" t="s">
        <v>43</v>
      </c>
      <c r="O36" s="34">
        <f>SUM('Materiálové hodnoty'!$E$18*'Materiálové hodnoty'!J18*$I$35*$I$36*0.01*$K$36)</f>
        <v>0</v>
      </c>
      <c r="P36" s="34">
        <f>SUM('Materiálové hodnoty'!$E$18*'Materiálové hodnoty'!K18*$I$35*$I$36*0.01*$K$36)</f>
        <v>0</v>
      </c>
      <c r="Q36" s="34">
        <f>SUM('Materiálové hodnoty'!$E$18*'Materiálové hodnoty'!L18*$I$35*$I$36*0.01*$K$36)</f>
        <v>0</v>
      </c>
    </row>
    <row r="37" spans="9:17" ht="12.75">
      <c r="I37" s="52">
        <v>100</v>
      </c>
      <c r="J37" s="32" t="s">
        <v>43</v>
      </c>
      <c r="K37" s="52">
        <v>1</v>
      </c>
      <c r="L37" s="33" t="s">
        <v>42</v>
      </c>
      <c r="O37" s="34">
        <f>SUM($I$37*'Materiálové hodnoty'!J18*K37)</f>
        <v>2270</v>
      </c>
      <c r="P37" s="34">
        <f>SUM($I$37*'Materiálové hodnoty'!K18*K37)</f>
        <v>93.5</v>
      </c>
      <c r="Q37" s="34">
        <f>SUM($I$37*'Materiálové hodnoty'!L18*K37)</f>
        <v>0.5670000000000001</v>
      </c>
    </row>
    <row r="39" spans="1:11" ht="12.75">
      <c r="A39" t="s">
        <v>44</v>
      </c>
      <c r="B39" s="47" t="s">
        <v>23</v>
      </c>
      <c r="C39" s="47" t="s">
        <v>24</v>
      </c>
      <c r="D39" s="47"/>
      <c r="E39" s="30" t="s">
        <v>26</v>
      </c>
      <c r="F39" s="47" t="s">
        <v>35</v>
      </c>
      <c r="G39" s="47" t="s">
        <v>28</v>
      </c>
      <c r="H39" s="47" t="s">
        <v>29</v>
      </c>
      <c r="I39" s="48" t="s">
        <v>30</v>
      </c>
      <c r="J39" s="49"/>
      <c r="K39" s="48"/>
    </row>
    <row r="40" spans="2:8" ht="12.75">
      <c r="B40" s="50">
        <v>94.5</v>
      </c>
      <c r="C40" s="50">
        <v>1</v>
      </c>
      <c r="D40" s="50"/>
      <c r="E40" s="51">
        <v>1</v>
      </c>
      <c r="F40" s="50">
        <f>SUM(B40*C40*E40)</f>
        <v>94.5</v>
      </c>
      <c r="G40" s="50">
        <v>0</v>
      </c>
      <c r="H40" s="50">
        <f>SUM(F40:G40)</f>
        <v>94.5</v>
      </c>
    </row>
    <row r="41" spans="2:8" ht="12.75">
      <c r="B41" s="50">
        <v>7.2</v>
      </c>
      <c r="C41" s="50">
        <v>1</v>
      </c>
      <c r="D41" s="50"/>
      <c r="E41" s="51">
        <v>1</v>
      </c>
      <c r="F41" s="50">
        <f>SUM(B41*C41*E41)</f>
        <v>7.2</v>
      </c>
      <c r="G41" s="50">
        <v>0</v>
      </c>
      <c r="H41" s="50">
        <f>SUM(F41:G41)</f>
        <v>7.2</v>
      </c>
    </row>
    <row r="42" spans="2:17" ht="12.75">
      <c r="B42" s="50">
        <v>0</v>
      </c>
      <c r="C42" s="50">
        <v>0</v>
      </c>
      <c r="D42" s="50"/>
      <c r="E42" s="51">
        <v>1</v>
      </c>
      <c r="F42" s="50">
        <f>SUM(B42*C42*E42)</f>
        <v>0</v>
      </c>
      <c r="G42" s="50">
        <v>0</v>
      </c>
      <c r="H42" s="50">
        <f>SUM(F42:G42)</f>
        <v>0</v>
      </c>
      <c r="I42" s="31">
        <f>SUM(H40:H42)</f>
        <v>101.7</v>
      </c>
      <c r="J42" s="32" t="s">
        <v>36</v>
      </c>
      <c r="K42" s="52">
        <v>1</v>
      </c>
      <c r="L42" s="33" t="str">
        <f>('Materiálové hodnoty'!B139)</f>
        <v>PE fólia</v>
      </c>
      <c r="M42" s="54">
        <v>200</v>
      </c>
      <c r="N42" s="33" t="s">
        <v>37</v>
      </c>
      <c r="O42" s="34">
        <f>SUM('Materiálové hodnoty'!J139*$M$42*0.001*$I$42*$K$42)</f>
        <v>1566.18</v>
      </c>
      <c r="P42" s="34">
        <f>SUM('Materiálové hodnoty'!K139*$M$42*0.001*$I$42*$K$42)</f>
        <v>41.086800000000004</v>
      </c>
      <c r="Q42" s="34">
        <f>SUM('Materiálové hodnoty'!L139*$M$42*0.001*$I$42*$K$42)</f>
        <v>0.4271400000000001</v>
      </c>
    </row>
    <row r="44" spans="1:11" ht="12.75">
      <c r="A44" t="s">
        <v>45</v>
      </c>
      <c r="B44" s="47" t="s">
        <v>23</v>
      </c>
      <c r="C44" s="47" t="s">
        <v>24</v>
      </c>
      <c r="D44" s="47"/>
      <c r="E44" s="30" t="s">
        <v>26</v>
      </c>
      <c r="F44" s="47" t="s">
        <v>35</v>
      </c>
      <c r="G44" s="47" t="s">
        <v>28</v>
      </c>
      <c r="H44" s="47" t="s">
        <v>29</v>
      </c>
      <c r="I44" s="48" t="s">
        <v>30</v>
      </c>
      <c r="J44" s="49"/>
      <c r="K44" s="48"/>
    </row>
    <row r="45" spans="2:11" ht="12.75">
      <c r="B45" s="50">
        <v>94.5</v>
      </c>
      <c r="C45" s="50">
        <v>1</v>
      </c>
      <c r="D45" s="50"/>
      <c r="E45" s="51">
        <v>1</v>
      </c>
      <c r="F45" s="50">
        <f>SUM(B45*C45*E45)</f>
        <v>94.5</v>
      </c>
      <c r="G45" s="50">
        <v>0</v>
      </c>
      <c r="H45" s="50">
        <f>SUM(F45:G45)</f>
        <v>94.5</v>
      </c>
      <c r="K45" s="32"/>
    </row>
    <row r="46" spans="2:17" ht="12.75">
      <c r="B46" s="50">
        <v>45.5</v>
      </c>
      <c r="C46" s="50">
        <v>0.2</v>
      </c>
      <c r="D46" s="50"/>
      <c r="E46" s="51">
        <v>1</v>
      </c>
      <c r="F46" s="50">
        <f>SUM(B46*C46*E46)</f>
        <v>9.1</v>
      </c>
      <c r="G46" s="50">
        <v>0</v>
      </c>
      <c r="H46" s="50">
        <f>SUM(F46:G46)</f>
        <v>9.1</v>
      </c>
      <c r="K46" s="52">
        <v>0</v>
      </c>
      <c r="L46" s="33" t="str">
        <f>('Materiálové hodnoty'!B134)</f>
        <v>EPDM</v>
      </c>
      <c r="O46" s="34">
        <f>SUM($I$47*'Materiálové hodnoty'!N134*$K46)</f>
        <v>0</v>
      </c>
      <c r="P46" s="34">
        <f>SUM($I$47*'Materiálové hodnoty'!O134*$K46)</f>
        <v>0</v>
      </c>
      <c r="Q46" s="34">
        <f>SUM($I$47*'Materiálové hodnoty'!P134*$K46)</f>
        <v>0</v>
      </c>
    </row>
    <row r="47" spans="2:17" ht="12.75">
      <c r="B47" s="50">
        <v>0</v>
      </c>
      <c r="C47" s="50">
        <v>0</v>
      </c>
      <c r="D47" s="50"/>
      <c r="E47" s="51">
        <v>1</v>
      </c>
      <c r="F47" s="50">
        <f>SUM(B47*C47*E47)</f>
        <v>0</v>
      </c>
      <c r="G47" s="50">
        <v>0</v>
      </c>
      <c r="H47" s="50">
        <f>SUM(F47:G47)</f>
        <v>0</v>
      </c>
      <c r="I47" s="31">
        <f>SUM(H45:H47)</f>
        <v>103.6</v>
      </c>
      <c r="J47" s="32" t="s">
        <v>36</v>
      </c>
      <c r="K47" s="52">
        <v>1</v>
      </c>
      <c r="L47" s="33" t="str">
        <f>('Materiálové hodnoty'!B135)</f>
        <v>Polymerbitumenová fólia</v>
      </c>
      <c r="O47" s="34">
        <f>SUM($I$47*'Materiálové hodnoty'!N135*$K47)</f>
        <v>17470.068</v>
      </c>
      <c r="P47" s="34">
        <f>SUM($I$47*'Materiálové hodnoty'!O135*$K47)</f>
        <v>396.5807999999999</v>
      </c>
      <c r="Q47" s="34">
        <f>SUM($I$47*'Materiálové hodnoty'!P135*$K47)</f>
        <v>2.4820488</v>
      </c>
    </row>
    <row r="48" spans="5:17" s="18" customFormat="1" ht="12.75">
      <c r="E48" s="53"/>
      <c r="I48" s="32"/>
      <c r="J48" s="32"/>
      <c r="K48" s="32"/>
      <c r="L48" s="56"/>
      <c r="M48" s="56"/>
      <c r="N48" s="56"/>
      <c r="O48" s="57"/>
      <c r="P48" s="57"/>
      <c r="Q48" s="57"/>
    </row>
    <row r="49" spans="1:17" s="21" customFormat="1" ht="15">
      <c r="A49" s="42" t="s">
        <v>46</v>
      </c>
      <c r="B49" s="43"/>
      <c r="C49" s="43"/>
      <c r="D49" s="43"/>
      <c r="E49" s="44"/>
      <c r="F49" s="43"/>
      <c r="G49" s="43"/>
      <c r="H49" s="43"/>
      <c r="I49" s="42"/>
      <c r="J49" s="42"/>
      <c r="K49" s="42"/>
      <c r="L49" s="45"/>
      <c r="M49" s="45"/>
      <c r="N49" s="45"/>
      <c r="O49" s="46">
        <f>SUM(O51:O59)</f>
        <v>95590.22000000002</v>
      </c>
      <c r="P49" s="46">
        <f>SUM(P51:P59)</f>
        <v>3267.6146000000003</v>
      </c>
      <c r="Q49" s="46">
        <f>SUM(Q51:Q59)</f>
        <v>20.167034</v>
      </c>
    </row>
    <row r="50" spans="5:17" s="18" customFormat="1" ht="12.75">
      <c r="E50" s="53"/>
      <c r="I50" s="32"/>
      <c r="J50" s="32"/>
      <c r="K50" s="32"/>
      <c r="L50" s="56"/>
      <c r="M50" s="56"/>
      <c r="N50" s="56"/>
      <c r="O50" s="57"/>
      <c r="P50" s="57"/>
      <c r="Q50" s="57"/>
    </row>
    <row r="51" spans="1:11" ht="12.75">
      <c r="A51" t="s">
        <v>47</v>
      </c>
      <c r="B51" s="47" t="s">
        <v>23</v>
      </c>
      <c r="C51" s="47" t="s">
        <v>24</v>
      </c>
      <c r="D51" s="47" t="s">
        <v>48</v>
      </c>
      <c r="E51" s="30" t="s">
        <v>26</v>
      </c>
      <c r="F51" s="47" t="s">
        <v>27</v>
      </c>
      <c r="G51" s="47" t="s">
        <v>28</v>
      </c>
      <c r="H51" s="47" t="s">
        <v>29</v>
      </c>
      <c r="I51" s="48" t="s">
        <v>30</v>
      </c>
      <c r="J51" s="49"/>
      <c r="K51" s="48"/>
    </row>
    <row r="52" spans="1:17" ht="12.75">
      <c r="A52" s="58" t="s">
        <v>49</v>
      </c>
      <c r="B52" s="50">
        <v>45.5</v>
      </c>
      <c r="C52" s="50">
        <v>1.25</v>
      </c>
      <c r="D52" s="50">
        <v>0.16</v>
      </c>
      <c r="E52" s="51">
        <v>1</v>
      </c>
      <c r="F52" s="50">
        <f>SUM(B52*C52*D52*E52)</f>
        <v>9.1</v>
      </c>
      <c r="G52" s="50">
        <v>0</v>
      </c>
      <c r="H52" s="50">
        <f>SUM(F52+F53)</f>
        <v>14.559999999999999</v>
      </c>
      <c r="K52"/>
      <c r="L52"/>
      <c r="M52"/>
      <c r="N52"/>
      <c r="O52"/>
      <c r="P52"/>
      <c r="Q52"/>
    </row>
    <row r="53" spans="1:11" ht="12.75">
      <c r="A53" s="58"/>
      <c r="B53" s="50">
        <v>45.5</v>
      </c>
      <c r="C53" s="50">
        <v>0.75</v>
      </c>
      <c r="D53" s="50">
        <v>0.16</v>
      </c>
      <c r="E53" s="51">
        <v>1</v>
      </c>
      <c r="F53" s="50">
        <f>SUM(B53*C53*D53*E53)</f>
        <v>5.46</v>
      </c>
      <c r="G53" s="50"/>
      <c r="H53" s="50"/>
      <c r="K53" s="52"/>
    </row>
    <row r="54" spans="1:17" ht="12.75">
      <c r="A54" s="58"/>
      <c r="B54" s="50"/>
      <c r="C54" s="50"/>
      <c r="D54" s="50"/>
      <c r="E54" s="51"/>
      <c r="F54" s="50"/>
      <c r="G54" s="50"/>
      <c r="H54" s="50"/>
      <c r="K54" s="52">
        <f>SUM(H55/I58)</f>
        <v>0.556712962962963</v>
      </c>
      <c r="L54" s="33" t="str">
        <f>('Materiálové hodnoty'!B47)</f>
        <v>EPS 20 (podlahový??)</v>
      </c>
      <c r="O54" s="34">
        <f>SUM($I$58*'Materiálové hodnoty'!$E$47*'Materiálové hodnoty'!J47*$K$54)</f>
        <v>37902.80000000001</v>
      </c>
      <c r="P54" s="34">
        <f>SUM($I$58*'Materiálové hodnoty'!$E$47*'Materiálové hodnoty'!K47*$K$54)</f>
        <v>1289.0800000000004</v>
      </c>
      <c r="Q54" s="34">
        <f>SUM($I$58*'Materiálové hodnoty'!$E$47*'Materiálové hodnoty'!L47*$K$54)</f>
        <v>8.31168</v>
      </c>
    </row>
    <row r="55" spans="1:17" ht="12.75">
      <c r="A55" s="58"/>
      <c r="B55" s="50">
        <v>74</v>
      </c>
      <c r="C55" s="50">
        <v>1</v>
      </c>
      <c r="D55" s="50">
        <v>0.26</v>
      </c>
      <c r="E55" s="51">
        <v>1</v>
      </c>
      <c r="F55" s="50">
        <f>SUM(B55*C55*D55*E55)</f>
        <v>19.240000000000002</v>
      </c>
      <c r="G55" s="50">
        <v>0</v>
      </c>
      <c r="H55" s="50">
        <f>SUM(F55:G55)</f>
        <v>19.240000000000002</v>
      </c>
      <c r="K55" s="52">
        <f>SUM(H52/I58)</f>
        <v>0.4212962962962962</v>
      </c>
      <c r="L55" s="33" t="str">
        <f>('Materiálové hodnoty'!B54)</f>
        <v>XPS vypeňované CO2</v>
      </c>
      <c r="O55" s="34">
        <f>SUM($I$58*'Materiálové hodnoty'!$E$54*'Materiálové hodnoty'!J54*$K$55)</f>
        <v>56434.560000000005</v>
      </c>
      <c r="P55" s="34">
        <f>SUM($I$58*'Materiálové hodnoty'!$E$54*'Materiálové hodnoty'!K54*$K$55)</f>
        <v>1903.2831999999999</v>
      </c>
      <c r="Q55" s="34">
        <f>SUM($I$58*'Materiálové hodnoty'!$E$54*'Materiálové hodnoty'!L54*$K$55)</f>
        <v>11.674208</v>
      </c>
    </row>
    <row r="56" spans="1:17" ht="12.75">
      <c r="A56" s="58"/>
      <c r="B56" s="50">
        <v>0</v>
      </c>
      <c r="C56" s="50">
        <v>1</v>
      </c>
      <c r="D56" s="50">
        <v>0</v>
      </c>
      <c r="E56" s="51">
        <v>1</v>
      </c>
      <c r="F56" s="50">
        <f>SUM(B56*C56*D56*E56)</f>
        <v>0</v>
      </c>
      <c r="G56" s="50">
        <v>0</v>
      </c>
      <c r="H56" s="50">
        <f>SUM(F56:G56)</f>
        <v>0</v>
      </c>
      <c r="I56"/>
      <c r="J56"/>
      <c r="K56" s="52">
        <v>0</v>
      </c>
      <c r="L56" s="33" t="str">
        <f>('Materiálové hodnoty'!B55)</f>
        <v>Penové sklo (drvené a komprimované 1,3)</v>
      </c>
      <c r="O56" s="34">
        <f>SUM($I$58*'Materiálové hodnoty'!$E$55*'Materiálové hodnoty'!J55*$K$56)</f>
        <v>0</v>
      </c>
      <c r="P56" s="34">
        <f>SUM($I$58*'Materiálové hodnoty'!$E$55*'Materiálové hodnoty'!K55*$K$56)</f>
        <v>0</v>
      </c>
      <c r="Q56" s="34">
        <f>SUM($I$58*'Materiálové hodnoty'!$E$55*'Materiálové hodnoty'!L55*$K$56)</f>
        <v>0</v>
      </c>
    </row>
    <row r="57" spans="2:17" ht="12.75">
      <c r="B57" s="50">
        <v>50</v>
      </c>
      <c r="C57" s="50">
        <v>0.25</v>
      </c>
      <c r="D57" s="50">
        <v>0.05</v>
      </c>
      <c r="E57" s="51">
        <v>1</v>
      </c>
      <c r="F57" s="50">
        <f>SUM(B57*C57*D57*E57)</f>
        <v>0.625</v>
      </c>
      <c r="G57" s="50">
        <v>0</v>
      </c>
      <c r="H57" s="50">
        <f>SUM(F57:G57)</f>
        <v>0.625</v>
      </c>
      <c r="I57"/>
      <c r="J57"/>
      <c r="K57" s="52">
        <f>SUM(H57+H58)/I58</f>
        <v>0.02199074074074074</v>
      </c>
      <c r="L57" s="33" t="str">
        <f>'Materiálové hodnoty'!B41</f>
        <v>Penové sklo (dosky)</v>
      </c>
      <c r="O57" s="34">
        <f>SUM($I$58*'Materiálové hodnoty'!$E41*'Materiálové hodnoty'!J41*$K57)</f>
        <v>1252.8600000000001</v>
      </c>
      <c r="P57" s="34">
        <f>SUM($I$58*'Materiálové hodnoty'!$E41*'Materiálové hodnoty'!K41*$K57)</f>
        <v>75.25140000000002</v>
      </c>
      <c r="Q57" s="34">
        <f>SUM($I$58*'Materiálové hodnoty'!$E41*'Materiálové hodnoty'!L41*$K57)</f>
        <v>0.18114600000000003</v>
      </c>
    </row>
    <row r="58" spans="2:17" ht="12.75">
      <c r="B58" s="50">
        <v>18</v>
      </c>
      <c r="C58" s="50">
        <v>0.15</v>
      </c>
      <c r="D58" s="50">
        <v>0.05</v>
      </c>
      <c r="E58" s="51">
        <v>1</v>
      </c>
      <c r="F58" s="50">
        <f>SUM(B58*C58*D58*E58)</f>
        <v>0.13499999999999998</v>
      </c>
      <c r="G58" s="50">
        <v>0</v>
      </c>
      <c r="H58" s="50">
        <f>SUM(F58:G58)</f>
        <v>0.13499999999999998</v>
      </c>
      <c r="I58" s="31">
        <f>SUM(H52:H58)</f>
        <v>34.56</v>
      </c>
      <c r="J58" s="32" t="s">
        <v>31</v>
      </c>
      <c r="K58" s="52">
        <v>0</v>
      </c>
      <c r="L58" s="33" t="str">
        <f>'Materiálové hodnoty'!B42</f>
        <v>Purenit</v>
      </c>
      <c r="O58" s="34">
        <f>SUM($I$58*'Materiálové hodnoty'!$E42*'Materiálové hodnoty'!J42*$K58)</f>
        <v>0</v>
      </c>
      <c r="P58" s="34">
        <f>SUM($I$58*'Materiálové hodnoty'!$E42*'Materiálové hodnoty'!K42*$K58)</f>
        <v>0</v>
      </c>
      <c r="Q58" s="34">
        <f>SUM($I$58*'Materiálové hodnoty'!$E42*'Materiálové hodnoty'!L42*$K58)</f>
        <v>0</v>
      </c>
    </row>
    <row r="60" spans="1:17" s="21" customFormat="1" ht="15">
      <c r="A60" s="42" t="s">
        <v>50</v>
      </c>
      <c r="B60" s="43"/>
      <c r="C60" s="43"/>
      <c r="D60" s="43"/>
      <c r="E60" s="44"/>
      <c r="F60" s="43"/>
      <c r="G60" s="43"/>
      <c r="H60" s="43"/>
      <c r="I60" s="42"/>
      <c r="J60" s="42"/>
      <c r="K60" s="42"/>
      <c r="L60" s="45"/>
      <c r="M60" s="45"/>
      <c r="N60" s="45"/>
      <c r="O60" s="46">
        <f>SUM(O62:O87)</f>
        <v>135514.5264</v>
      </c>
      <c r="P60" s="46">
        <f>SUM(P62:P87)</f>
        <v>10505.87892</v>
      </c>
      <c r="Q60" s="46">
        <f>SUM(Q62:Q87)</f>
        <v>34.83523944</v>
      </c>
    </row>
    <row r="62" spans="1:11" ht="12.75">
      <c r="A62" s="31" t="s">
        <v>51</v>
      </c>
      <c r="B62" s="47" t="s">
        <v>23</v>
      </c>
      <c r="C62" s="47" t="s">
        <v>52</v>
      </c>
      <c r="D62" s="47" t="s">
        <v>53</v>
      </c>
      <c r="E62" s="30" t="s">
        <v>26</v>
      </c>
      <c r="F62" s="47" t="s">
        <v>27</v>
      </c>
      <c r="G62" s="47" t="s">
        <v>28</v>
      </c>
      <c r="H62" s="47" t="s">
        <v>29</v>
      </c>
      <c r="I62" s="48" t="s">
        <v>30</v>
      </c>
      <c r="J62" s="49"/>
      <c r="K62" s="48"/>
    </row>
    <row r="63" spans="1:17" ht="12.75">
      <c r="A63" s="59" t="s">
        <v>54</v>
      </c>
      <c r="B63" s="50">
        <v>196.5</v>
      </c>
      <c r="C63" s="50">
        <v>1</v>
      </c>
      <c r="D63" s="50">
        <v>0.25</v>
      </c>
      <c r="E63" s="51">
        <v>1</v>
      </c>
      <c r="F63" s="50">
        <f>SUM(B63*C63*D63*E63)</f>
        <v>49.125</v>
      </c>
      <c r="G63" s="50">
        <v>0</v>
      </c>
      <c r="H63" s="50">
        <f>SUM(F63:G63)</f>
        <v>49.125</v>
      </c>
      <c r="K63" s="52">
        <v>0</v>
      </c>
      <c r="L63" s="33" t="str">
        <f>'Materiálové hodnoty'!B10</f>
        <v>Stavebné drevo sušené na vzduchu</v>
      </c>
      <c r="O63" s="34">
        <f>SUM($I$72*'Materiálové hodnoty'!$E10*'Materiálové hodnoty'!J10*$K63)</f>
        <v>0</v>
      </c>
      <c r="P63" s="34">
        <f>SUM($I$72*'Materiálové hodnoty'!$E10*'Materiálové hodnoty'!K10*$K63)</f>
        <v>0</v>
      </c>
      <c r="Q63" s="34">
        <f>SUM($I$72*'Materiálové hodnoty'!$E10*'Materiálové hodnoty'!L10*$K63)</f>
        <v>0</v>
      </c>
    </row>
    <row r="64" spans="1:17" ht="12.75">
      <c r="A64" s="59" t="s">
        <v>55</v>
      </c>
      <c r="B64" s="50">
        <v>45.5</v>
      </c>
      <c r="C64" s="50">
        <v>0.30000000000000004</v>
      </c>
      <c r="D64" s="50">
        <v>0.25</v>
      </c>
      <c r="E64" s="51">
        <v>1</v>
      </c>
      <c r="F64" s="50">
        <f>SUM(B64*C64*D64*E64)</f>
        <v>3.4125000000000005</v>
      </c>
      <c r="G64" s="50">
        <v>0</v>
      </c>
      <c r="H64" s="50">
        <f>SUM(F64:G64)</f>
        <v>3.4125000000000005</v>
      </c>
      <c r="K64" s="52">
        <v>0</v>
      </c>
      <c r="L64" s="33" t="str">
        <f>'Materiálové hodnoty'!B11</f>
        <v>Stavebné drevo technicky sušené</v>
      </c>
      <c r="O64" s="34">
        <f>SUM($I$72*'Materiálové hodnoty'!$E11*'Materiálové hodnoty'!J11*$K64)</f>
        <v>0</v>
      </c>
      <c r="P64" s="34">
        <f>SUM($I$72*'Materiálové hodnoty'!$E11*'Materiálové hodnoty'!K11*$K64)</f>
        <v>0</v>
      </c>
      <c r="Q64" s="34">
        <f>SUM($I$72*'Materiálové hodnoty'!$E11*'Materiálové hodnoty'!L11*$K64)</f>
        <v>0</v>
      </c>
    </row>
    <row r="65" spans="1:17" ht="12.75">
      <c r="A65" s="59" t="s">
        <v>56</v>
      </c>
      <c r="B65" s="50">
        <v>0</v>
      </c>
      <c r="C65" s="50">
        <v>0</v>
      </c>
      <c r="D65" s="50">
        <v>0</v>
      </c>
      <c r="E65" s="51">
        <v>1</v>
      </c>
      <c r="F65" s="50">
        <f>SUM(B65*C65*D65*E65)</f>
        <v>0</v>
      </c>
      <c r="G65" s="50">
        <v>0</v>
      </c>
      <c r="H65" s="50">
        <f>SUM(F65:G65)</f>
        <v>0</v>
      </c>
      <c r="K65" s="52">
        <v>0</v>
      </c>
      <c r="L65" s="33" t="str">
        <f>'Materiálové hodnoty'!B12</f>
        <v>Lepené drevené hranoly</v>
      </c>
      <c r="O65" s="34">
        <f>SUM($I$72*'Materiálové hodnoty'!$E12*'Materiálové hodnoty'!J12*$K65)</f>
        <v>0</v>
      </c>
      <c r="P65" s="34">
        <f>SUM($I$72*'Materiálové hodnoty'!$E12*'Materiálové hodnoty'!K12*$K65)</f>
        <v>0</v>
      </c>
      <c r="Q65" s="34">
        <f>SUM($I$72*'Materiálové hodnoty'!$E12*'Materiálové hodnoty'!L12*$K65)</f>
        <v>0</v>
      </c>
    </row>
    <row r="66" spans="1:17" ht="12.75">
      <c r="A66" s="59" t="s">
        <v>57</v>
      </c>
      <c r="B66" s="50">
        <v>0</v>
      </c>
      <c r="C66" s="50">
        <v>0</v>
      </c>
      <c r="D66" s="50">
        <v>0</v>
      </c>
      <c r="E66" s="51">
        <v>1</v>
      </c>
      <c r="F66" s="50">
        <f>SUM(B66*C66*D66*E66)</f>
        <v>0</v>
      </c>
      <c r="G66" s="50">
        <v>0</v>
      </c>
      <c r="H66" s="50">
        <f>SUM(F66:G66)</f>
        <v>0</v>
      </c>
      <c r="K66" s="52">
        <v>0</v>
      </c>
      <c r="L66" s="33" t="str">
        <f>'Materiálové hodnoty'!B13</f>
        <v>Krížom spojené drevené dosky</v>
      </c>
      <c r="O66" s="34">
        <f>SUM($I$72*'Materiálové hodnoty'!$E13*'Materiálové hodnoty'!J13*$K66)</f>
        <v>0</v>
      </c>
      <c r="P66" s="34">
        <f>SUM($I$72*'Materiálové hodnoty'!$E13*'Materiálové hodnoty'!K13*$K66)</f>
        <v>0</v>
      </c>
      <c r="Q66" s="34">
        <f>SUM($I$72*'Materiálové hodnoty'!$E13*'Materiálové hodnoty'!L13*$K66)</f>
        <v>0</v>
      </c>
    </row>
    <row r="67" spans="1:17" ht="12.75">
      <c r="A67" s="60" t="s">
        <v>58</v>
      </c>
      <c r="B67" s="50">
        <v>0</v>
      </c>
      <c r="C67" s="50">
        <v>0</v>
      </c>
      <c r="D67" s="50">
        <v>0</v>
      </c>
      <c r="E67" s="51">
        <v>1</v>
      </c>
      <c r="F67" s="50">
        <f>SUM(B67*C67*D67*E67)</f>
        <v>0</v>
      </c>
      <c r="G67" s="50">
        <v>0</v>
      </c>
      <c r="H67" s="50">
        <f>SUM(F67:G67)</f>
        <v>0</v>
      </c>
      <c r="I67"/>
      <c r="J67"/>
      <c r="K67" s="52">
        <v>0</v>
      </c>
      <c r="L67" s="33" t="str">
        <f>'Materiálové hodnoty'!B14</f>
        <v>Normalný betón (bez armovania)</v>
      </c>
      <c r="O67" s="34">
        <f>SUM($I$72*'Materiálové hodnoty'!$E14*'Materiálové hodnoty'!J14*$K67)</f>
        <v>0</v>
      </c>
      <c r="P67" s="34">
        <f>SUM($I$72*'Materiálové hodnoty'!$E14*'Materiálové hodnoty'!K14*$K67)</f>
        <v>0</v>
      </c>
      <c r="Q67" s="34">
        <f>SUM($I$72*'Materiálové hodnoty'!$E14*'Materiálové hodnoty'!L14*$K67)</f>
        <v>0</v>
      </c>
    </row>
    <row r="68" spans="1:17" ht="12.75">
      <c r="A68" s="60" t="s">
        <v>58</v>
      </c>
      <c r="B68" s="50">
        <v>0</v>
      </c>
      <c r="C68" s="50">
        <v>0</v>
      </c>
      <c r="D68" s="50">
        <v>0</v>
      </c>
      <c r="E68" s="51">
        <v>1</v>
      </c>
      <c r="F68" s="50">
        <f>SUM(B68*C68*D68*E68)</f>
        <v>0</v>
      </c>
      <c r="G68" s="50">
        <v>0</v>
      </c>
      <c r="H68" s="50">
        <f>SUM(F68:G68)</f>
        <v>0</v>
      </c>
      <c r="K68" s="52">
        <v>0</v>
      </c>
      <c r="L68" s="33" t="str">
        <f>'Materiálové hodnoty'!B15</f>
        <v>Keramzit betón</v>
      </c>
      <c r="O68" s="34">
        <f>SUM($I$72*'Materiálové hodnoty'!$E15*'Materiálové hodnoty'!J15*$K68)</f>
        <v>0</v>
      </c>
      <c r="P68" s="34">
        <f>SUM($I$72*'Materiálové hodnoty'!$E15*'Materiálové hodnoty'!K15*$K68)</f>
        <v>0</v>
      </c>
      <c r="Q68" s="34">
        <f>SUM($I$72*'Materiálové hodnoty'!$E15*'Materiálové hodnoty'!L15*$K68)</f>
        <v>0</v>
      </c>
    </row>
    <row r="69" spans="1:17" ht="12.75">
      <c r="A69" s="60" t="s">
        <v>58</v>
      </c>
      <c r="B69" s="50">
        <v>0</v>
      </c>
      <c r="C69" s="50">
        <v>0</v>
      </c>
      <c r="D69" s="50">
        <v>0</v>
      </c>
      <c r="E69" s="51">
        <v>1</v>
      </c>
      <c r="F69" s="50">
        <f>SUM(B69*C69*D69*E69)</f>
        <v>0</v>
      </c>
      <c r="G69" s="50">
        <v>0</v>
      </c>
      <c r="H69" s="50">
        <f>SUM(F69:G69)</f>
        <v>0</v>
      </c>
      <c r="K69" s="52">
        <v>0</v>
      </c>
      <c r="L69" s="33" t="str">
        <f>'Materiálové hodnoty'!B16</f>
        <v>Betónové šalovacie tvárnice (bez jadra)</v>
      </c>
      <c r="O69" s="34">
        <f>SUM($I$72*'Materiálové hodnoty'!$E16*'Materiálové hodnoty'!J16*$K69)</f>
        <v>0</v>
      </c>
      <c r="P69" s="34">
        <f>SUM($I$72*'Materiálové hodnoty'!$E16*'Materiálové hodnoty'!K16*$K69)</f>
        <v>0</v>
      </c>
      <c r="Q69" s="34">
        <f>SUM($I$72*'Materiálové hodnoty'!$E16*'Materiálové hodnoty'!L16*$K69)</f>
        <v>0</v>
      </c>
    </row>
    <row r="70" spans="1:11" ht="12.75">
      <c r="A70" s="60" t="s">
        <v>58</v>
      </c>
      <c r="B70" s="50">
        <v>0</v>
      </c>
      <c r="C70" s="50">
        <v>0</v>
      </c>
      <c r="D70" s="50">
        <v>0</v>
      </c>
      <c r="E70" s="51">
        <v>1</v>
      </c>
      <c r="F70" s="50">
        <f>SUM(B70*C70*D70*E70)</f>
        <v>0</v>
      </c>
      <c r="G70" s="50">
        <v>0</v>
      </c>
      <c r="H70" s="50">
        <f>SUM(F70:G70)</f>
        <v>0</v>
      </c>
      <c r="K70" s="32"/>
    </row>
    <row r="71" spans="1:12" ht="12.75">
      <c r="A71" s="61" t="s">
        <v>59</v>
      </c>
      <c r="B71" s="50">
        <v>0</v>
      </c>
      <c r="C71" s="50">
        <v>0</v>
      </c>
      <c r="D71" s="50">
        <v>0</v>
      </c>
      <c r="E71" s="53">
        <v>-1</v>
      </c>
      <c r="F71" s="50">
        <f>SUM(B71*C71*D71*E72)</f>
        <v>0</v>
      </c>
      <c r="G71" s="50">
        <v>0</v>
      </c>
      <c r="H71" s="50">
        <f>SUM(F71:G71)</f>
        <v>0</v>
      </c>
      <c r="K71" s="32"/>
      <c r="L71" s="62"/>
    </row>
    <row r="72" spans="1:17" ht="12.75">
      <c r="A72" s="61" t="s">
        <v>59</v>
      </c>
      <c r="B72" s="50">
        <v>0</v>
      </c>
      <c r="C72" s="50">
        <v>0</v>
      </c>
      <c r="D72" s="50">
        <v>0</v>
      </c>
      <c r="E72" s="53">
        <v>-1</v>
      </c>
      <c r="F72" s="50">
        <f>SUM(B72*C72*D72*E75)</f>
        <v>0</v>
      </c>
      <c r="G72" s="50">
        <v>0</v>
      </c>
      <c r="H72" s="50">
        <f>SUM(F72:G72)</f>
        <v>0</v>
      </c>
      <c r="I72" s="31">
        <f>SUM(H63:H72)</f>
        <v>52.5375</v>
      </c>
      <c r="J72" s="32" t="s">
        <v>31</v>
      </c>
      <c r="K72" s="52">
        <v>0</v>
      </c>
      <c r="L72" s="33" t="str">
        <f>'Materiálové hodnoty'!$B$17</f>
        <v>Železobetón</v>
      </c>
      <c r="O72" s="34">
        <f>SUM($I72*'Materiálové hodnoty'!$E$17*'Materiálové hodnoty'!$J$17*$K72)</f>
        <v>0</v>
      </c>
      <c r="P72" s="34">
        <f>SUM($I72*'Materiálové hodnoty'!$E$17*'Materiálové hodnoty'!$K$17*$K72)</f>
        <v>0</v>
      </c>
      <c r="Q72" s="34">
        <f>SUM($I72*'Materiálové hodnoty'!$E$17*'Materiálové hodnoty'!$L$17*$K72)</f>
        <v>0</v>
      </c>
    </row>
    <row r="73" spans="1:17" ht="12.75">
      <c r="A73" s="61"/>
      <c r="B73" s="50"/>
      <c r="C73" s="50"/>
      <c r="D73" s="50"/>
      <c r="E73" s="53"/>
      <c r="F73" s="50"/>
      <c r="G73" s="50"/>
      <c r="H73" s="50"/>
      <c r="I73" s="52">
        <v>0.9</v>
      </c>
      <c r="J73" s="32" t="s">
        <v>41</v>
      </c>
      <c r="K73" s="52">
        <v>0</v>
      </c>
      <c r="L73" s="33" t="s">
        <v>42</v>
      </c>
      <c r="M73" s="55">
        <f>SUM(I72*I73/100*7800*K73)</f>
        <v>0</v>
      </c>
      <c r="N73" s="33" t="s">
        <v>43</v>
      </c>
      <c r="O73" s="34">
        <f>SUM('Materiálové hodnoty'!$E$18*'Materiálové hodnoty'!$J$18*$I72*$I73*0.01*$K73)</f>
        <v>0</v>
      </c>
      <c r="P73" s="34">
        <f>SUM('Materiálové hodnoty'!$E$18*'Materiálové hodnoty'!$K$18*$I72*$I73*0.01*$K73)</f>
        <v>0</v>
      </c>
      <c r="Q73" s="34">
        <f>SUM('Materiálové hodnoty'!$E$18*'Materiálové hodnoty'!$L$18*$I72*$I73*0.01*$K73)</f>
        <v>0</v>
      </c>
    </row>
    <row r="74" spans="1:17" ht="12.75">
      <c r="A74" s="61"/>
      <c r="B74" s="50"/>
      <c r="C74" s="50"/>
      <c r="D74" s="50"/>
      <c r="E74" s="53"/>
      <c r="F74" s="50"/>
      <c r="G74" s="50"/>
      <c r="H74" s="50"/>
      <c r="I74" s="52">
        <v>0</v>
      </c>
      <c r="J74" s="32" t="s">
        <v>43</v>
      </c>
      <c r="K74" s="52">
        <v>0</v>
      </c>
      <c r="L74" s="33" t="s">
        <v>42</v>
      </c>
      <c r="O74" s="34">
        <f>SUM($I74*'Materiálové hodnoty'!$J$18*$K74)</f>
        <v>0</v>
      </c>
      <c r="P74" s="34">
        <f>SUM($I74*'Materiálové hodnoty'!$K$18*$K74)</f>
        <v>0</v>
      </c>
      <c r="Q74" s="34">
        <f>SUM($I74*'Materiálové hodnoty'!$L$18*$K74)</f>
        <v>0</v>
      </c>
    </row>
    <row r="75" spans="5:12" ht="12.75">
      <c r="E75" s="53"/>
      <c r="K75" s="32"/>
      <c r="L75" s="62"/>
    </row>
    <row r="76" spans="11:17" ht="12.75">
      <c r="K76" s="52">
        <v>1</v>
      </c>
      <c r="L76" s="62" t="str">
        <f>'Materiálové hodnoty'!B23</f>
        <v>Tehla dierovaná</v>
      </c>
      <c r="O76" s="34">
        <f>SUM($I$72*'Materiálové hodnoty'!$E23*'Materiálové hodnoty'!J23*$K76)</f>
        <v>104654.70000000001</v>
      </c>
      <c r="P76" s="34">
        <f>SUM($I$72*'Materiálové hodnoty'!$E23*'Materiálové hodnoty'!K23*$K76)</f>
        <v>7397.28</v>
      </c>
      <c r="Q76" s="34">
        <f>SUM($I$72*'Materiálové hodnoty'!$E23*'Materiálové hodnoty'!L23*$K76)</f>
        <v>23.116500000000002</v>
      </c>
    </row>
    <row r="77" spans="11:17" ht="12.75">
      <c r="K77" s="52">
        <v>0</v>
      </c>
      <c r="L77" s="62" t="str">
        <f>'Materiálové hodnoty'!B24</f>
        <v>Hlina masívna</v>
      </c>
      <c r="O77" s="34">
        <f>SUM($I$72*'Materiálové hodnoty'!$E24*'Materiálové hodnoty'!J24*$K77)</f>
        <v>0</v>
      </c>
      <c r="P77" s="34">
        <f>SUM($I$72*'Materiálové hodnoty'!$E24*'Materiálové hodnoty'!K24*$K77)</f>
        <v>0</v>
      </c>
      <c r="Q77" s="34">
        <f>SUM($I$72*'Materiálové hodnoty'!$E24*'Materiálové hodnoty'!L24*$K77)</f>
        <v>0</v>
      </c>
    </row>
    <row r="78" spans="11:17" ht="12.75">
      <c r="K78" s="52">
        <v>0</v>
      </c>
      <c r="L78" s="62" t="str">
        <f>'Materiálové hodnoty'!B25</f>
        <v>Plynosilikát (Pórobetón)</v>
      </c>
      <c r="O78" s="34">
        <f>SUM($I$72*'Materiálové hodnoty'!$E25*'Materiálové hodnoty'!J25*$K78)</f>
        <v>0</v>
      </c>
      <c r="P78" s="34">
        <f>SUM($I$72*'Materiálové hodnoty'!$E25*'Materiálové hodnoty'!K25*$K78)</f>
        <v>0</v>
      </c>
      <c r="Q78" s="34">
        <f>SUM($I$72*'Materiálové hodnoty'!$E25*'Materiálové hodnoty'!L25*$K78)</f>
        <v>0</v>
      </c>
    </row>
    <row r="79" spans="11:17" ht="12.75">
      <c r="K79" s="52">
        <v>0</v>
      </c>
      <c r="L79" s="62" t="str">
        <f>'Materiálové hodnoty'!B26</f>
        <v>Vápennopieskové tehly</v>
      </c>
      <c r="O79" s="34">
        <f>SUM($I$72*'Materiálové hodnoty'!$E26*'Materiálové hodnoty'!J26*$K79)</f>
        <v>0</v>
      </c>
      <c r="P79" s="34">
        <f>SUM($I$72*'Materiálové hodnoty'!$E26*'Materiálové hodnoty'!K26*$K79)</f>
        <v>0</v>
      </c>
      <c r="Q79" s="34">
        <f>SUM($I$72*'Materiálové hodnoty'!$E26*'Materiálové hodnoty'!L26*$K79)</f>
        <v>0</v>
      </c>
    </row>
    <row r="80" spans="11:12" ht="12.75">
      <c r="K80" s="32"/>
      <c r="L80" s="62"/>
    </row>
    <row r="81" spans="1:11" ht="12.75">
      <c r="A81" s="31" t="s">
        <v>60</v>
      </c>
      <c r="B81" s="47" t="s">
        <v>23</v>
      </c>
      <c r="C81" s="47" t="s">
        <v>24</v>
      </c>
      <c r="D81" s="47" t="s">
        <v>61</v>
      </c>
      <c r="E81" s="30" t="s">
        <v>26</v>
      </c>
      <c r="F81" s="47" t="s">
        <v>27</v>
      </c>
      <c r="G81" s="47" t="s">
        <v>28</v>
      </c>
      <c r="H81" s="47" t="s">
        <v>29</v>
      </c>
      <c r="I81" s="48" t="s">
        <v>30</v>
      </c>
      <c r="J81" s="49"/>
      <c r="K81" s="48"/>
    </row>
    <row r="82" spans="1:8" ht="12.75">
      <c r="A82" s="58" t="s">
        <v>51</v>
      </c>
      <c r="B82" s="50">
        <v>90</v>
      </c>
      <c r="C82" s="50">
        <v>0.25</v>
      </c>
      <c r="D82" s="50">
        <v>0.25</v>
      </c>
      <c r="E82" s="51">
        <v>1</v>
      </c>
      <c r="F82" s="50">
        <f>SUM(B82*C82*D82*E82)</f>
        <v>5.625</v>
      </c>
      <c r="G82" s="50">
        <v>0</v>
      </c>
      <c r="H82" s="50">
        <f>SUM(F82:G82)</f>
        <v>5.625</v>
      </c>
    </row>
    <row r="83" spans="1:8" ht="12.75">
      <c r="A83" s="58" t="s">
        <v>62</v>
      </c>
      <c r="B83" s="50">
        <v>44.8</v>
      </c>
      <c r="C83" s="50">
        <v>0.15</v>
      </c>
      <c r="D83" s="50">
        <v>0.25</v>
      </c>
      <c r="E83" s="51">
        <v>1</v>
      </c>
      <c r="F83" s="50">
        <f>SUM(B83*C83*D83*E83)</f>
        <v>1.68</v>
      </c>
      <c r="G83" s="50">
        <v>0</v>
      </c>
      <c r="H83" s="50">
        <f>SUM(F83:G83)</f>
        <v>1.68</v>
      </c>
    </row>
    <row r="84" spans="2:17" ht="12.75">
      <c r="B84" s="50">
        <v>0</v>
      </c>
      <c r="C84" s="50">
        <v>0</v>
      </c>
      <c r="D84" s="50">
        <v>0</v>
      </c>
      <c r="E84" s="51">
        <v>1</v>
      </c>
      <c r="F84" s="50">
        <f>SUM(B84*C84*D84*E84)</f>
        <v>0</v>
      </c>
      <c r="G84" s="50">
        <v>0</v>
      </c>
      <c r="H84" s="50">
        <f>SUM(F84:G84)</f>
        <v>0</v>
      </c>
      <c r="I84" s="31">
        <f>SUM(H82:H84)</f>
        <v>7.305</v>
      </c>
      <c r="J84" s="32" t="s">
        <v>31</v>
      </c>
      <c r="K84" s="52">
        <v>1</v>
      </c>
      <c r="L84" s="33" t="str">
        <f>('Materiálové hodnoty'!B17)</f>
        <v>Železobetón</v>
      </c>
      <c r="O84" s="34">
        <f>SUM($I$84*'Materiálové hodnoty'!$E$17*'Materiálové hodnoty'!J17*$K$84)</f>
        <v>20512.44</v>
      </c>
      <c r="P84" s="34">
        <f>SUM($I$84*'Materiálové hodnoty'!$E$17*'Materiálové hodnoty'!K17*$K$84)</f>
        <v>2682.3959999999997</v>
      </c>
      <c r="Q84" s="34">
        <f>SUM($I$84*'Materiálové hodnoty'!$E$17*'Materiálové hodnoty'!L17*$K$84)</f>
        <v>9.134172</v>
      </c>
    </row>
    <row r="85" spans="9:17" ht="12.75">
      <c r="I85" s="52">
        <v>0.8</v>
      </c>
      <c r="J85" s="32" t="s">
        <v>41</v>
      </c>
      <c r="K85" s="52">
        <v>1</v>
      </c>
      <c r="L85" s="33" t="s">
        <v>42</v>
      </c>
      <c r="M85" s="55">
        <f>SUM(I84*I85/100*7800*K85)</f>
        <v>455.83200000000005</v>
      </c>
      <c r="N85" s="33" t="s">
        <v>43</v>
      </c>
      <c r="O85" s="34">
        <f>SUM('Materiálové hodnoty'!$E$18*'Materiálové hodnoty'!J18*$I$84*$I$85*0.01*$K$85)</f>
        <v>10347.386400000001</v>
      </c>
      <c r="P85" s="34">
        <f>SUM('Materiálové hodnoty'!$E$18*'Materiálové hodnoty'!K18*$I$84*$I$85*0.01*$K$85)</f>
        <v>426.20292</v>
      </c>
      <c r="Q85" s="34">
        <f>SUM('Materiálové hodnoty'!$E$18*'Materiálové hodnoty'!L18*$I$84*$I$85*0.01*$K$85)</f>
        <v>2.5845674400000003</v>
      </c>
    </row>
    <row r="86" spans="9:17" ht="12.75">
      <c r="I86" s="52">
        <v>0</v>
      </c>
      <c r="J86" s="32" t="s">
        <v>43</v>
      </c>
      <c r="K86" s="52">
        <v>0</v>
      </c>
      <c r="L86" s="33" t="s">
        <v>42</v>
      </c>
      <c r="O86" s="34">
        <f>SUM($I$86*'Materiálové hodnoty'!J18*$K86)</f>
        <v>0</v>
      </c>
      <c r="P86" s="34">
        <f>SUM($I$86*'Materiálové hodnoty'!K18*$K86)</f>
        <v>0</v>
      </c>
      <c r="Q86" s="34">
        <f>SUM($I$86*'Materiálové hodnoty'!L18*$K86)</f>
        <v>0</v>
      </c>
    </row>
    <row r="87" spans="11:12" ht="12.75">
      <c r="K87" s="32"/>
      <c r="L87" s="62"/>
    </row>
    <row r="88" ht="12.75">
      <c r="L88" s="62"/>
    </row>
    <row r="89" spans="1:17" ht="15">
      <c r="A89" s="42" t="s">
        <v>62</v>
      </c>
      <c r="B89" s="43"/>
      <c r="C89" s="43"/>
      <c r="D89" s="43"/>
      <c r="E89" s="44"/>
      <c r="F89" s="43"/>
      <c r="G89" s="43"/>
      <c r="H89" s="43"/>
      <c r="I89" s="42"/>
      <c r="J89" s="42"/>
      <c r="K89" s="42"/>
      <c r="L89" s="45"/>
      <c r="M89" s="45"/>
      <c r="N89" s="45"/>
      <c r="O89" s="46">
        <f>SUM(O91:O109)</f>
        <v>32987.52</v>
      </c>
      <c r="P89" s="46">
        <f>SUM(P91:P109)</f>
        <v>2331.6479999999997</v>
      </c>
      <c r="Q89" s="46">
        <f>SUM(Q91:Q109)</f>
        <v>7.2863999999999995</v>
      </c>
    </row>
    <row r="91" spans="1:11" ht="12.75">
      <c r="A91" s="31" t="s">
        <v>62</v>
      </c>
      <c r="B91" s="47" t="s">
        <v>23</v>
      </c>
      <c r="C91" s="47" t="s">
        <v>52</v>
      </c>
      <c r="D91" s="47" t="s">
        <v>53</v>
      </c>
      <c r="E91" s="30" t="s">
        <v>26</v>
      </c>
      <c r="F91" s="47" t="s">
        <v>27</v>
      </c>
      <c r="G91" s="47" t="s">
        <v>28</v>
      </c>
      <c r="H91" s="47" t="s">
        <v>29</v>
      </c>
      <c r="I91" s="48" t="s">
        <v>30</v>
      </c>
      <c r="J91" s="49"/>
      <c r="K91" s="48"/>
    </row>
    <row r="92" spans="1:17" ht="12.75">
      <c r="A92" s="59" t="s">
        <v>63</v>
      </c>
      <c r="B92" s="50">
        <v>105</v>
      </c>
      <c r="C92" s="50">
        <v>1</v>
      </c>
      <c r="D92" s="50">
        <v>0.15</v>
      </c>
      <c r="E92" s="51">
        <v>1</v>
      </c>
      <c r="F92" s="50">
        <f>SUM(B92*C92*D92*E92)</f>
        <v>15.75</v>
      </c>
      <c r="G92" s="50">
        <v>0</v>
      </c>
      <c r="H92" s="50">
        <f>SUM(F92:G92)</f>
        <v>15.75</v>
      </c>
      <c r="K92" s="52">
        <v>0</v>
      </c>
      <c r="L92" s="33" t="str">
        <f>'Materiálové hodnoty'!B10</f>
        <v>Stavebné drevo sušené na vzduchu</v>
      </c>
      <c r="O92" s="34">
        <f>SUM($I$101*'Materiálové hodnoty'!$E10*'Materiálové hodnoty'!J10*$K92)</f>
        <v>0</v>
      </c>
      <c r="P92" s="34">
        <f>SUM($I$101*'Materiálové hodnoty'!$E10*'Materiálové hodnoty'!K10*$K92)</f>
        <v>0</v>
      </c>
      <c r="Q92" s="34">
        <f>SUM($I$101*'Materiálové hodnoty'!$E10*'Materiálové hodnoty'!L10*$K92)</f>
        <v>0</v>
      </c>
    </row>
    <row r="93" spans="1:17" ht="12.75">
      <c r="A93" s="59" t="s">
        <v>58</v>
      </c>
      <c r="B93" s="50">
        <v>18</v>
      </c>
      <c r="C93" s="50">
        <v>0.30000000000000004</v>
      </c>
      <c r="D93" s="50">
        <v>0.15</v>
      </c>
      <c r="E93" s="51">
        <v>1</v>
      </c>
      <c r="F93" s="50">
        <f>SUM(B93*C93*D93*E93)</f>
        <v>0.81</v>
      </c>
      <c r="G93" s="50">
        <v>0</v>
      </c>
      <c r="H93" s="50">
        <f>SUM(F93:G93)</f>
        <v>0.81</v>
      </c>
      <c r="K93" s="52">
        <v>0</v>
      </c>
      <c r="L93" s="33" t="str">
        <f>'Materiálové hodnoty'!B11</f>
        <v>Stavebné drevo technicky sušené</v>
      </c>
      <c r="O93" s="34">
        <f>SUM($I$101*'Materiálové hodnoty'!$E11*'Materiálové hodnoty'!J11*$K93)</f>
        <v>0</v>
      </c>
      <c r="P93" s="34">
        <f>SUM($I$101*'Materiálové hodnoty'!$E11*'Materiálové hodnoty'!K11*$K93)</f>
        <v>0</v>
      </c>
      <c r="Q93" s="34">
        <f>SUM($I$101*'Materiálové hodnoty'!$E11*'Materiálové hodnoty'!L11*$K93)</f>
        <v>0</v>
      </c>
    </row>
    <row r="94" spans="1:17" ht="12.75">
      <c r="A94" s="59" t="s">
        <v>58</v>
      </c>
      <c r="B94" s="50">
        <v>0</v>
      </c>
      <c r="C94" s="50">
        <v>0</v>
      </c>
      <c r="D94" s="50">
        <v>0</v>
      </c>
      <c r="E94" s="51">
        <v>1</v>
      </c>
      <c r="F94" s="50">
        <f>SUM(B94*C94*D94*E94)</f>
        <v>0</v>
      </c>
      <c r="G94" s="50">
        <v>0</v>
      </c>
      <c r="H94" s="50">
        <f>SUM(F94:G94)</f>
        <v>0</v>
      </c>
      <c r="K94" s="52">
        <v>0</v>
      </c>
      <c r="L94" s="33" t="str">
        <f>'Materiálové hodnoty'!B12</f>
        <v>Lepené drevené hranoly</v>
      </c>
      <c r="O94" s="34">
        <f>SUM($I$101*'Materiálové hodnoty'!$E12*'Materiálové hodnoty'!J12*$K94)</f>
        <v>0</v>
      </c>
      <c r="P94" s="34">
        <f>SUM($I$101*'Materiálové hodnoty'!$E12*'Materiálové hodnoty'!K12*$K94)</f>
        <v>0</v>
      </c>
      <c r="Q94" s="34">
        <f>SUM($I$101*'Materiálové hodnoty'!$E12*'Materiálové hodnoty'!L12*$K94)</f>
        <v>0</v>
      </c>
    </row>
    <row r="95" spans="1:17" ht="12.75">
      <c r="A95" s="59" t="s">
        <v>58</v>
      </c>
      <c r="B95" s="50">
        <v>0</v>
      </c>
      <c r="C95" s="50">
        <v>0</v>
      </c>
      <c r="D95" s="50">
        <v>0</v>
      </c>
      <c r="E95" s="51">
        <v>1</v>
      </c>
      <c r="F95" s="50">
        <f>SUM(B95*C95*D95*E95)</f>
        <v>0</v>
      </c>
      <c r="G95" s="50">
        <v>0</v>
      </c>
      <c r="H95" s="50">
        <f>SUM(F95:G95)</f>
        <v>0</v>
      </c>
      <c r="K95" s="52">
        <v>0</v>
      </c>
      <c r="L95" s="33" t="str">
        <f>'Materiálové hodnoty'!B13</f>
        <v>Krížom spojené drevené dosky</v>
      </c>
      <c r="O95" s="34">
        <f>SUM($I$101*'Materiálové hodnoty'!$E13*'Materiálové hodnoty'!J13*$K95)</f>
        <v>0</v>
      </c>
      <c r="P95" s="34">
        <f>SUM($I$101*'Materiálové hodnoty'!$E13*'Materiálové hodnoty'!K13*$K95)</f>
        <v>0</v>
      </c>
      <c r="Q95" s="34">
        <f>SUM($I$101*'Materiálové hodnoty'!$E13*'Materiálové hodnoty'!L13*$K95)</f>
        <v>0</v>
      </c>
    </row>
    <row r="96" spans="1:17" ht="12.75">
      <c r="A96" s="60" t="s">
        <v>58</v>
      </c>
      <c r="B96" s="50">
        <v>0</v>
      </c>
      <c r="C96" s="50">
        <v>0</v>
      </c>
      <c r="D96" s="50">
        <v>0</v>
      </c>
      <c r="E96" s="51">
        <v>1</v>
      </c>
      <c r="F96" s="50">
        <f>SUM(B96*C96*D96*E96)</f>
        <v>0</v>
      </c>
      <c r="G96" s="50">
        <v>0</v>
      </c>
      <c r="H96" s="50">
        <f>SUM(F96:G96)</f>
        <v>0</v>
      </c>
      <c r="I96"/>
      <c r="J96"/>
      <c r="K96" s="52">
        <v>0</v>
      </c>
      <c r="L96" s="33" t="str">
        <f>'Materiálové hodnoty'!B14</f>
        <v>Normalný betón (bez armovania)</v>
      </c>
      <c r="O96" s="34">
        <f>SUM($I$101*'Materiálové hodnoty'!$E14*'Materiálové hodnoty'!J14*$K96)</f>
        <v>0</v>
      </c>
      <c r="P96" s="34">
        <f>SUM($I$101*'Materiálové hodnoty'!$E14*'Materiálové hodnoty'!K14*$K96)</f>
        <v>0</v>
      </c>
      <c r="Q96" s="34">
        <f>SUM($I$101*'Materiálové hodnoty'!$E14*'Materiálové hodnoty'!L14*$K96)</f>
        <v>0</v>
      </c>
    </row>
    <row r="97" spans="1:17" ht="12.75">
      <c r="A97" s="60" t="s">
        <v>58</v>
      </c>
      <c r="B97" s="50">
        <v>0</v>
      </c>
      <c r="C97" s="50">
        <v>0</v>
      </c>
      <c r="D97" s="50">
        <v>0</v>
      </c>
      <c r="E97" s="51">
        <v>1</v>
      </c>
      <c r="F97" s="50">
        <f>SUM(B97*C97*D97*E97)</f>
        <v>0</v>
      </c>
      <c r="G97" s="50">
        <v>0</v>
      </c>
      <c r="H97" s="50">
        <f>SUM(F97:G97)</f>
        <v>0</v>
      </c>
      <c r="K97" s="52">
        <v>0</v>
      </c>
      <c r="L97" s="33" t="str">
        <f>'Materiálové hodnoty'!B15</f>
        <v>Keramzit betón</v>
      </c>
      <c r="O97" s="34">
        <f>SUM($I$101*'Materiálové hodnoty'!$E15*'Materiálové hodnoty'!J15*$K97)</f>
        <v>0</v>
      </c>
      <c r="P97" s="34">
        <f>SUM($I$101*'Materiálové hodnoty'!$E15*'Materiálové hodnoty'!K15*$K97)</f>
        <v>0</v>
      </c>
      <c r="Q97" s="34">
        <f>SUM($I$101*'Materiálové hodnoty'!$E15*'Materiálové hodnoty'!L15*$K97)</f>
        <v>0</v>
      </c>
    </row>
    <row r="98" spans="1:17" ht="12.75">
      <c r="A98" s="60" t="s">
        <v>58</v>
      </c>
      <c r="B98" s="50">
        <v>0</v>
      </c>
      <c r="C98" s="50">
        <v>0</v>
      </c>
      <c r="D98" s="50">
        <v>0</v>
      </c>
      <c r="E98" s="51">
        <v>1</v>
      </c>
      <c r="F98" s="50">
        <f>SUM(B98*C98*D98*E98)</f>
        <v>0</v>
      </c>
      <c r="G98" s="50">
        <v>0</v>
      </c>
      <c r="H98" s="50">
        <f>SUM(F98:G98)</f>
        <v>0</v>
      </c>
      <c r="K98" s="52">
        <v>0</v>
      </c>
      <c r="L98" s="33" t="str">
        <f>'Materiálové hodnoty'!B16</f>
        <v>Betónové šalovacie tvárnice (bez jadra)</v>
      </c>
      <c r="O98" s="34">
        <f>SUM($I$101*'Materiálové hodnoty'!$E16*'Materiálové hodnoty'!J16*$K98)</f>
        <v>0</v>
      </c>
      <c r="P98" s="34">
        <f>SUM($I$101*'Materiálové hodnoty'!$E16*'Materiálové hodnoty'!K16*$K98)</f>
        <v>0</v>
      </c>
      <c r="Q98" s="34">
        <f>SUM($I$101*'Materiálové hodnoty'!$E16*'Materiálové hodnoty'!L16*$K98)</f>
        <v>0</v>
      </c>
    </row>
    <row r="99" spans="1:11" ht="12.75">
      <c r="A99" s="60" t="s">
        <v>58</v>
      </c>
      <c r="B99" s="50">
        <v>0</v>
      </c>
      <c r="C99" s="50">
        <v>0</v>
      </c>
      <c r="D99" s="50">
        <v>0</v>
      </c>
      <c r="E99" s="51">
        <v>1</v>
      </c>
      <c r="F99" s="50">
        <f>SUM(B99*C99*D99*E99)</f>
        <v>0</v>
      </c>
      <c r="G99" s="50">
        <v>0</v>
      </c>
      <c r="H99" s="50">
        <f>SUM(F99:G99)</f>
        <v>0</v>
      </c>
      <c r="K99" s="32"/>
    </row>
    <row r="100" spans="1:12" ht="12.75">
      <c r="A100" s="59" t="s">
        <v>59</v>
      </c>
      <c r="B100" s="50">
        <v>0</v>
      </c>
      <c r="C100" s="50">
        <v>0</v>
      </c>
      <c r="D100" s="50">
        <v>0</v>
      </c>
      <c r="E100" s="53">
        <v>-1</v>
      </c>
      <c r="F100" s="50">
        <f>SUM(B100*C100*D100*E100)</f>
        <v>0</v>
      </c>
      <c r="G100" s="50">
        <v>0</v>
      </c>
      <c r="H100" s="50">
        <f>SUM(F100:G100)</f>
        <v>0</v>
      </c>
      <c r="K100" s="32"/>
      <c r="L100" s="62"/>
    </row>
    <row r="101" spans="1:17" ht="12.75">
      <c r="A101" s="59" t="s">
        <v>59</v>
      </c>
      <c r="B101" s="50">
        <v>0</v>
      </c>
      <c r="C101" s="50">
        <v>0</v>
      </c>
      <c r="D101" s="50">
        <v>0</v>
      </c>
      <c r="E101" s="53">
        <v>-1</v>
      </c>
      <c r="F101" s="50">
        <f>SUM(B101*C101*D101*E101)</f>
        <v>0</v>
      </c>
      <c r="G101" s="50">
        <v>0</v>
      </c>
      <c r="H101" s="50">
        <f>SUM(F101:G101)</f>
        <v>0</v>
      </c>
      <c r="I101" s="31">
        <f>SUM(H92:H101)</f>
        <v>16.56</v>
      </c>
      <c r="J101" s="32" t="s">
        <v>31</v>
      </c>
      <c r="K101" s="52">
        <v>0</v>
      </c>
      <c r="L101" s="33" t="str">
        <f>'Materiálové hodnoty'!$B$17</f>
        <v>Železobetón</v>
      </c>
      <c r="O101" s="34">
        <f>SUM($I101*'Materiálové hodnoty'!$E$17*'Materiálové hodnoty'!$J$17*$K101)</f>
        <v>0</v>
      </c>
      <c r="P101" s="34">
        <f>SUM($I101*'Materiálové hodnoty'!$E$17*'Materiálové hodnoty'!$K$17*$K101)</f>
        <v>0</v>
      </c>
      <c r="Q101" s="34">
        <f>SUM($I101*'Materiálové hodnoty'!$E$17*'Materiálové hodnoty'!$L$17*$K101)</f>
        <v>0</v>
      </c>
    </row>
    <row r="102" spans="1:17" ht="12.75">
      <c r="A102" s="59"/>
      <c r="B102" s="50"/>
      <c r="C102" s="50"/>
      <c r="D102" s="50"/>
      <c r="E102" s="53"/>
      <c r="F102" s="50"/>
      <c r="G102" s="50"/>
      <c r="H102" s="50"/>
      <c r="I102" s="52">
        <v>0.7</v>
      </c>
      <c r="J102" s="32" t="s">
        <v>41</v>
      </c>
      <c r="K102" s="52">
        <v>0</v>
      </c>
      <c r="L102" s="33" t="s">
        <v>42</v>
      </c>
      <c r="M102" s="55">
        <f>SUM(I101*I102/100*7800*K102)</f>
        <v>0</v>
      </c>
      <c r="N102" s="33" t="s">
        <v>43</v>
      </c>
      <c r="O102" s="34">
        <f>SUM('Materiálové hodnoty'!$E$18*'Materiálové hodnoty'!$J$18*$I101*$I102*0.01*$K102)</f>
        <v>0</v>
      </c>
      <c r="P102" s="34">
        <f>SUM('Materiálové hodnoty'!$E$18*'Materiálové hodnoty'!$K$18*$I101*$I102*0.01*$K102)</f>
        <v>0</v>
      </c>
      <c r="Q102" s="34">
        <f>SUM('Materiálové hodnoty'!$E$18*'Materiálové hodnoty'!$L$18*$I101*$I102*0.01*$K102)</f>
        <v>0</v>
      </c>
    </row>
    <row r="103" spans="1:17" ht="12.75">
      <c r="A103" s="59"/>
      <c r="B103" s="50"/>
      <c r="C103" s="50"/>
      <c r="D103" s="50"/>
      <c r="E103" s="53"/>
      <c r="F103" s="50"/>
      <c r="G103" s="50"/>
      <c r="H103" s="50"/>
      <c r="I103" s="52">
        <v>0</v>
      </c>
      <c r="J103" s="32" t="s">
        <v>43</v>
      </c>
      <c r="K103" s="52">
        <v>0</v>
      </c>
      <c r="L103" s="33" t="s">
        <v>42</v>
      </c>
      <c r="O103" s="34">
        <f>SUM($I103*'Materiálové hodnoty'!$J$18*$K103)</f>
        <v>0</v>
      </c>
      <c r="P103" s="34">
        <f>SUM($I103*'Materiálové hodnoty'!$K$18*$K103)</f>
        <v>0</v>
      </c>
      <c r="Q103" s="34">
        <f>SUM($I103*'Materiálové hodnoty'!$L$18*$K103)</f>
        <v>0</v>
      </c>
    </row>
    <row r="104" spans="11:12" ht="12.75">
      <c r="K104" s="32"/>
      <c r="L104" s="62"/>
    </row>
    <row r="105" spans="11:17" ht="12.75">
      <c r="K105" s="52">
        <v>1</v>
      </c>
      <c r="L105" s="62" t="str">
        <f>'VAR 1'!$L$76</f>
        <v>Tehla dierovaná</v>
      </c>
      <c r="O105" s="34">
        <f>SUM($I$101*'Materiálové hodnoty'!$E23*'Materiálové hodnoty'!J23*$K105)</f>
        <v>32987.52</v>
      </c>
      <c r="P105" s="34">
        <f>SUM($I$101*'Materiálové hodnoty'!$E23*'Materiálové hodnoty'!K23*$K105)</f>
        <v>2331.6479999999997</v>
      </c>
      <c r="Q105" s="34">
        <f>SUM($I$101*'Materiálové hodnoty'!$E23*'Materiálové hodnoty'!L23*$K105)</f>
        <v>7.2863999999999995</v>
      </c>
    </row>
    <row r="106" spans="11:17" ht="12.75">
      <c r="K106" s="52">
        <v>0</v>
      </c>
      <c r="L106" s="62" t="str">
        <f>'VAR 1'!$L$77</f>
        <v>Hlina masívna</v>
      </c>
      <c r="O106" s="34">
        <f>SUM($I$101*'Materiálové hodnoty'!$E24*'Materiálové hodnoty'!J24*$K106)</f>
        <v>0</v>
      </c>
      <c r="P106" s="34">
        <f>SUM($I$101*'Materiálové hodnoty'!$E24*'Materiálové hodnoty'!K24*$K106)</f>
        <v>0</v>
      </c>
      <c r="Q106" s="34">
        <f>SUM($I$101*'Materiálové hodnoty'!$E24*'Materiálové hodnoty'!L24*$K106)</f>
        <v>0</v>
      </c>
    </row>
    <row r="107" spans="11:17" ht="12.75">
      <c r="K107" s="52">
        <v>0</v>
      </c>
      <c r="L107" s="62" t="str">
        <f>'VAR 1'!$L$78</f>
        <v>Plynosilikát (Pórobetón)</v>
      </c>
      <c r="O107" s="34">
        <f>SUM($I$101*'Materiálové hodnoty'!$E25*'Materiálové hodnoty'!J25*$K107)</f>
        <v>0</v>
      </c>
      <c r="P107" s="34">
        <f>SUM($I$101*'Materiálové hodnoty'!$E25*'Materiálové hodnoty'!K25*$K107)</f>
        <v>0</v>
      </c>
      <c r="Q107" s="34">
        <f>SUM($I$101*'Materiálové hodnoty'!$E25*'Materiálové hodnoty'!L25*$K107)</f>
        <v>0</v>
      </c>
    </row>
    <row r="108" spans="11:17" ht="12.75">
      <c r="K108" s="52">
        <v>0</v>
      </c>
      <c r="L108" s="62" t="str">
        <f>'VAR 1'!$L$79</f>
        <v>Vápennopieskové tehly</v>
      </c>
      <c r="O108" s="34">
        <f>SUM($I$101*'Materiálové hodnoty'!$E26*'Materiálové hodnoty'!J26*$K108)</f>
        <v>0</v>
      </c>
      <c r="P108" s="34">
        <f>SUM($I$101*'Materiálové hodnoty'!$E26*'Materiálové hodnoty'!K26*$K108)</f>
        <v>0</v>
      </c>
      <c r="Q108" s="34">
        <f>SUM($I$101*'Materiálové hodnoty'!$E26*'Materiálové hodnoty'!L26*$K108)</f>
        <v>0</v>
      </c>
    </row>
    <row r="111" spans="1:17" ht="15">
      <c r="A111" s="42" t="s">
        <v>64</v>
      </c>
      <c r="B111" s="43"/>
      <c r="C111" s="43"/>
      <c r="D111" s="43"/>
      <c r="E111" s="44"/>
      <c r="F111" s="43"/>
      <c r="G111" s="43"/>
      <c r="H111" s="43"/>
      <c r="I111" s="42"/>
      <c r="J111" s="42"/>
      <c r="K111" s="42"/>
      <c r="L111" s="45"/>
      <c r="M111" s="45"/>
      <c r="N111" s="45"/>
      <c r="O111" s="46">
        <f>SUM(O113:O131)</f>
        <v>86992.03656</v>
      </c>
      <c r="P111" s="46">
        <f>SUM(P113:P131)</f>
        <v>8554.590468</v>
      </c>
      <c r="Q111" s="46">
        <f>SUM(Q113:Q131)</f>
        <v>32.579649576</v>
      </c>
    </row>
    <row r="113" spans="1:11" ht="12.75">
      <c r="A113" t="s">
        <v>65</v>
      </c>
      <c r="B113" s="47" t="s">
        <v>23</v>
      </c>
      <c r="C113" s="47" t="s">
        <v>24</v>
      </c>
      <c r="D113" s="47" t="s">
        <v>48</v>
      </c>
      <c r="E113" s="30" t="s">
        <v>26</v>
      </c>
      <c r="F113" s="47" t="s">
        <v>27</v>
      </c>
      <c r="G113" s="47" t="s">
        <v>28</v>
      </c>
      <c r="H113" s="47" t="s">
        <v>29</v>
      </c>
      <c r="I113" s="48" t="s">
        <v>30</v>
      </c>
      <c r="J113" s="49"/>
      <c r="K113" s="48"/>
    </row>
    <row r="114" spans="2:8" ht="12.75">
      <c r="B114" s="50">
        <v>91.7</v>
      </c>
      <c r="C114" s="50">
        <v>1</v>
      </c>
      <c r="D114" s="50">
        <v>0.2</v>
      </c>
      <c r="E114" s="51">
        <v>1</v>
      </c>
      <c r="F114" s="50">
        <f>SUM(B114*C114*D114*E114)</f>
        <v>18.34</v>
      </c>
      <c r="G114" s="50">
        <v>0</v>
      </c>
      <c r="H114" s="50">
        <f>SUM(F114:G114)</f>
        <v>18.34</v>
      </c>
    </row>
    <row r="115" spans="2:8" ht="12.75">
      <c r="B115" s="50">
        <v>44.5</v>
      </c>
      <c r="C115" s="50">
        <v>0.16</v>
      </c>
      <c r="D115" s="50">
        <v>0.2</v>
      </c>
      <c r="E115" s="51">
        <v>1</v>
      </c>
      <c r="F115" s="50">
        <f>SUM(B115*C115*D115*E115)</f>
        <v>1.4240000000000002</v>
      </c>
      <c r="G115" s="50">
        <v>0</v>
      </c>
      <c r="H115" s="50">
        <f>SUM(F115:G115)</f>
        <v>1.4240000000000002</v>
      </c>
    </row>
    <row r="116" spans="2:17" ht="12.75">
      <c r="B116" s="50">
        <v>0</v>
      </c>
      <c r="C116" s="50">
        <v>0</v>
      </c>
      <c r="D116" s="50">
        <v>0</v>
      </c>
      <c r="E116" s="51">
        <v>1</v>
      </c>
      <c r="F116" s="50">
        <f>SUM(B116*C116*D116*E116)</f>
        <v>0</v>
      </c>
      <c r="G116" s="50">
        <v>0</v>
      </c>
      <c r="H116" s="50">
        <f>SUM(F116:G116)</f>
        <v>0</v>
      </c>
      <c r="I116" s="31">
        <f>SUM(H114:H116)</f>
        <v>19.764</v>
      </c>
      <c r="J116" s="32" t="s">
        <v>31</v>
      </c>
      <c r="K116" s="52">
        <v>1</v>
      </c>
      <c r="L116" s="33" t="str">
        <f>('Materiálové hodnoty'!B17)</f>
        <v>Železobetón</v>
      </c>
      <c r="O116" s="34">
        <f>SUM($I$116*'Materiálové hodnoty'!$E$17*'Materiálové hodnoty'!J17*$K$116)</f>
        <v>55497.312</v>
      </c>
      <c r="P116" s="34">
        <f>SUM($I$116*'Materiálové hodnoty'!$E$17*'Materiálové hodnoty'!K17*$K$116)</f>
        <v>7257.3408</v>
      </c>
      <c r="Q116" s="34">
        <f>SUM($I$116*'Materiálové hodnoty'!$E$17*'Materiálové hodnoty'!L17*$K$116)</f>
        <v>24.7129056</v>
      </c>
    </row>
    <row r="117" spans="9:17" ht="12.75">
      <c r="I117" s="52">
        <v>0.9</v>
      </c>
      <c r="J117" s="32" t="s">
        <v>41</v>
      </c>
      <c r="K117" s="52">
        <v>1</v>
      </c>
      <c r="L117" s="33" t="s">
        <v>42</v>
      </c>
      <c r="M117" s="55">
        <f>SUM(I116*I117/100*7800*K117)</f>
        <v>1387.4328</v>
      </c>
      <c r="N117" s="33" t="s">
        <v>43</v>
      </c>
      <c r="O117" s="34">
        <f>SUM('Materiálové hodnoty'!$E$18*'Materiálové hodnoty'!J18*$I$116*$I$117*0.01*$K$117)</f>
        <v>31494.72456</v>
      </c>
      <c r="P117" s="34">
        <f>SUM('Materiálové hodnoty'!$E$18*'Materiálové hodnoty'!K18*$I$116*$I$117*0.01*$K$117)</f>
        <v>1297.249668</v>
      </c>
      <c r="Q117" s="34">
        <f>SUM('Materiálové hodnoty'!$E$18*'Materiálové hodnoty'!L18*$I$116*$I$117*0.01*$K$117)</f>
        <v>7.866743976000001</v>
      </c>
    </row>
    <row r="118" spans="9:17" ht="12.75">
      <c r="I118" s="52">
        <v>0</v>
      </c>
      <c r="J118" s="32" t="s">
        <v>43</v>
      </c>
      <c r="K118" s="52">
        <v>0</v>
      </c>
      <c r="L118" s="33" t="s">
        <v>42</v>
      </c>
      <c r="O118" s="34">
        <f>SUM($I$118*'Materiálové hodnoty'!J18)</f>
        <v>0</v>
      </c>
      <c r="P118" s="34">
        <f>SUM($I$118*'Materiálové hodnoty'!K18)</f>
        <v>0</v>
      </c>
      <c r="Q118" s="34">
        <f>SUM($I$118*'Materiálové hodnoty'!L18)</f>
        <v>0</v>
      </c>
    </row>
    <row r="119" spans="5:17" s="18" customFormat="1" ht="12.75">
      <c r="E119" s="53"/>
      <c r="I119" s="32"/>
      <c r="J119" s="32"/>
      <c r="K119" s="32"/>
      <c r="L119" s="56"/>
      <c r="M119" s="56"/>
      <c r="N119" s="56"/>
      <c r="O119" s="57"/>
      <c r="P119" s="57"/>
      <c r="Q119" s="57"/>
    </row>
    <row r="120" spans="2:8" ht="12.75">
      <c r="B120" s="18"/>
      <c r="C120" s="18"/>
      <c r="D120" s="18"/>
      <c r="E120" s="53"/>
      <c r="F120" s="18"/>
      <c r="G120" s="18"/>
      <c r="H120" s="18"/>
    </row>
    <row r="121" spans="1:11" ht="12.75">
      <c r="A121" t="s">
        <v>66</v>
      </c>
      <c r="B121" s="47" t="s">
        <v>23</v>
      </c>
      <c r="C121" s="47" t="s">
        <v>24</v>
      </c>
      <c r="D121" s="47" t="s">
        <v>25</v>
      </c>
      <c r="E121" s="30" t="s">
        <v>26</v>
      </c>
      <c r="F121" s="47" t="s">
        <v>27</v>
      </c>
      <c r="G121" s="47" t="s">
        <v>28</v>
      </c>
      <c r="H121" s="47" t="s">
        <v>29</v>
      </c>
      <c r="I121" s="48" t="s">
        <v>30</v>
      </c>
      <c r="J121" s="49"/>
      <c r="K121" s="48"/>
    </row>
    <row r="122" spans="2:11" ht="12.75">
      <c r="B122" s="50">
        <v>0</v>
      </c>
      <c r="C122" s="50">
        <v>0</v>
      </c>
      <c r="D122" s="50">
        <v>0</v>
      </c>
      <c r="E122" s="51">
        <v>0</v>
      </c>
      <c r="F122" s="50">
        <f>SUM(B122*C122*D122*E122)</f>
        <v>0</v>
      </c>
      <c r="G122" s="50">
        <v>0</v>
      </c>
      <c r="H122" s="50">
        <f>SUM(F122:G122)</f>
        <v>0</v>
      </c>
      <c r="I122" s="48"/>
      <c r="J122" s="49"/>
      <c r="K122" s="48"/>
    </row>
    <row r="123" spans="2:17" ht="12.75">
      <c r="B123" s="50">
        <v>0</v>
      </c>
      <c r="C123" s="50">
        <v>0</v>
      </c>
      <c r="D123" s="50">
        <v>0</v>
      </c>
      <c r="E123" s="51">
        <v>0</v>
      </c>
      <c r="F123" s="50">
        <f>SUM(B123*C123*D123*E123)</f>
        <v>0</v>
      </c>
      <c r="G123" s="50">
        <v>0</v>
      </c>
      <c r="H123" s="50">
        <f>SUM(F123:G123)</f>
        <v>0</v>
      </c>
      <c r="K123" s="52">
        <v>0</v>
      </c>
      <c r="L123" s="33" t="str">
        <f>('Materiálové hodnoty'!B10)</f>
        <v>Stavebné drevo sušené na vzduchu</v>
      </c>
      <c r="O123" s="34">
        <f>SUM($I$125*'Materiálové hodnoty'!$E10*'Materiálové hodnoty'!J10*$K123)</f>
        <v>0</v>
      </c>
      <c r="P123" s="34">
        <f>SUM($I$125*'Materiálové hodnoty'!$E10*'Materiálové hodnoty'!K10*$K123)</f>
        <v>0</v>
      </c>
      <c r="Q123" s="34">
        <f>SUM($I$125*'Materiálové hodnoty'!$E10*'Materiálové hodnoty'!L10*$K123)</f>
        <v>0</v>
      </c>
    </row>
    <row r="124" spans="2:17" ht="12.75">
      <c r="B124" s="50">
        <v>0</v>
      </c>
      <c r="C124" s="50">
        <v>0</v>
      </c>
      <c r="D124" s="50">
        <v>0</v>
      </c>
      <c r="E124" s="51">
        <v>0</v>
      </c>
      <c r="F124" s="50">
        <f>SUM(B124*C124*D124*E124)</f>
        <v>0</v>
      </c>
      <c r="G124" s="50">
        <v>0</v>
      </c>
      <c r="H124" s="50">
        <f>SUM(F124:G124)</f>
        <v>0</v>
      </c>
      <c r="K124" s="52">
        <v>0</v>
      </c>
      <c r="L124" s="33" t="str">
        <f>('Materiálové hodnoty'!B11)</f>
        <v>Stavebné drevo technicky sušené</v>
      </c>
      <c r="O124" s="34">
        <f>SUM($I$125*'Materiálové hodnoty'!$E11*'Materiálové hodnoty'!J11*$K124)</f>
        <v>0</v>
      </c>
      <c r="P124" s="34">
        <f>SUM($I$125*'Materiálové hodnoty'!$E11*'Materiálové hodnoty'!K11*$K124)</f>
        <v>0</v>
      </c>
      <c r="Q124" s="34">
        <f>SUM($I$125*'Materiálové hodnoty'!$E11*'Materiálové hodnoty'!L11*$K124)</f>
        <v>0</v>
      </c>
    </row>
    <row r="125" spans="2:17" ht="12.75">
      <c r="B125" s="50">
        <v>0</v>
      </c>
      <c r="C125" s="50">
        <v>0</v>
      </c>
      <c r="D125" s="50">
        <v>0</v>
      </c>
      <c r="E125" s="51">
        <v>0</v>
      </c>
      <c r="F125" s="50">
        <f>SUM(B125*C125*D125*E125)</f>
        <v>0</v>
      </c>
      <c r="G125" s="50">
        <v>0</v>
      </c>
      <c r="H125" s="50">
        <f>SUM(F125:G125)</f>
        <v>0</v>
      </c>
      <c r="I125" s="31">
        <f>SUM(H122:H125)</f>
        <v>0</v>
      </c>
      <c r="J125" s="32" t="s">
        <v>31</v>
      </c>
      <c r="K125" s="52">
        <v>1</v>
      </c>
      <c r="L125" s="33" t="str">
        <f>('Materiálové hodnoty'!B12)</f>
        <v>Lepené drevené hranoly</v>
      </c>
      <c r="O125" s="34">
        <f>SUM($I$125*'Materiálové hodnoty'!$E12*'Materiálové hodnoty'!J12*$K125)</f>
        <v>0</v>
      </c>
      <c r="P125" s="34">
        <f>SUM($I$125*'Materiálové hodnoty'!$E12*'Materiálové hodnoty'!K12*$K125)</f>
        <v>0</v>
      </c>
      <c r="Q125" s="34">
        <f>SUM($I$125*'Materiálové hodnoty'!$E12*'Materiálové hodnoty'!L12*$K125)</f>
        <v>0</v>
      </c>
    </row>
    <row r="126" spans="2:8" ht="12.75">
      <c r="B126" s="18"/>
      <c r="C126" s="18"/>
      <c r="D126" s="18"/>
      <c r="E126" s="53"/>
      <c r="F126" s="18"/>
      <c r="G126" s="18"/>
      <c r="H126" s="18"/>
    </row>
    <row r="127" spans="1:11" ht="12.75">
      <c r="A127" t="s">
        <v>58</v>
      </c>
      <c r="B127" s="47" t="s">
        <v>23</v>
      </c>
      <c r="C127" s="47" t="s">
        <v>24</v>
      </c>
      <c r="D127" s="47" t="s">
        <v>48</v>
      </c>
      <c r="E127" s="30" t="s">
        <v>26</v>
      </c>
      <c r="F127" s="47" t="s">
        <v>27</v>
      </c>
      <c r="G127" s="47" t="s">
        <v>28</v>
      </c>
      <c r="H127" s="47" t="s">
        <v>29</v>
      </c>
      <c r="I127" s="48" t="s">
        <v>30</v>
      </c>
      <c r="J127" s="49"/>
      <c r="K127" s="48"/>
    </row>
    <row r="128" spans="2:17" ht="12.75">
      <c r="B128" s="50">
        <v>0</v>
      </c>
      <c r="C128" s="50">
        <v>0</v>
      </c>
      <c r="D128" s="50">
        <v>0</v>
      </c>
      <c r="E128" s="51">
        <v>1</v>
      </c>
      <c r="F128" s="50">
        <f>SUM(B128*C128*D128*E128)</f>
        <v>0</v>
      </c>
      <c r="G128" s="50">
        <v>0</v>
      </c>
      <c r="H128" s="50">
        <f>SUM(F128:G128)</f>
        <v>0</v>
      </c>
      <c r="K128" s="52">
        <v>0</v>
      </c>
      <c r="L128" s="33" t="str">
        <f>'Materiálové hodnoty'!B23</f>
        <v>Tehla dierovaná</v>
      </c>
      <c r="O128" s="34">
        <f>SUM($I$130*'Materiálové hodnoty'!$E23*'Materiálové hodnoty'!J23*$K$128:K128)</f>
        <v>0</v>
      </c>
      <c r="P128" s="34">
        <f>SUM($I$130*'Materiálové hodnoty'!$E23*'Materiálové hodnoty'!K23*$K$128:K128)</f>
        <v>0</v>
      </c>
      <c r="Q128" s="34">
        <f>SUM($I$130*'Materiálové hodnoty'!$E23*'Materiálové hodnoty'!L23*$K$128:K128)</f>
        <v>0</v>
      </c>
    </row>
    <row r="129" spans="2:17" ht="12.75">
      <c r="B129" s="50">
        <v>0</v>
      </c>
      <c r="C129" s="50">
        <v>0</v>
      </c>
      <c r="D129" s="50">
        <v>0</v>
      </c>
      <c r="E129" s="51">
        <v>1</v>
      </c>
      <c r="F129" s="50">
        <f>SUM(B129*C129*D129*E129)</f>
        <v>0</v>
      </c>
      <c r="G129" s="50">
        <v>0</v>
      </c>
      <c r="H129" s="50">
        <f>SUM(F129:G129)</f>
        <v>0</v>
      </c>
      <c r="K129" s="52">
        <v>0</v>
      </c>
      <c r="L129" s="33" t="str">
        <f>'Materiálové hodnoty'!B24</f>
        <v>Hlina masívna</v>
      </c>
      <c r="O129" s="34">
        <f>SUM($I$130*'Materiálové hodnoty'!$E$24*'Materiálové hodnoty'!J24*$K$129)</f>
        <v>0</v>
      </c>
      <c r="P129" s="34">
        <f>SUM($I$130*'Materiálové hodnoty'!$E$24*'Materiálové hodnoty'!K24*$K$129)</f>
        <v>0</v>
      </c>
      <c r="Q129" s="34">
        <f>SUM($I$130*'Materiálové hodnoty'!$E$24*'Materiálové hodnoty'!L24*$K$129)</f>
        <v>0</v>
      </c>
    </row>
    <row r="130" spans="2:17" ht="12.75">
      <c r="B130" s="50">
        <v>0</v>
      </c>
      <c r="C130" s="50">
        <v>0</v>
      </c>
      <c r="D130" s="50">
        <v>0</v>
      </c>
      <c r="E130" s="51">
        <v>1</v>
      </c>
      <c r="F130" s="50">
        <f>SUM(B130*C130*D130*E130)</f>
        <v>0</v>
      </c>
      <c r="G130" s="50">
        <v>0</v>
      </c>
      <c r="H130" s="50">
        <f>SUM(F130:G130)</f>
        <v>0</v>
      </c>
      <c r="I130" s="31">
        <f>SUM(H128:H130)</f>
        <v>0</v>
      </c>
      <c r="J130" s="32" t="s">
        <v>31</v>
      </c>
      <c r="K130" s="52">
        <v>1</v>
      </c>
      <c r="L130" s="33" t="str">
        <f>('Materiálové hodnoty'!B5)</f>
        <v>Štrk</v>
      </c>
      <c r="O130" s="34">
        <f>SUM($I$130*'Materiálové hodnoty'!$E$5*'Materiálové hodnoty'!J5*$K$130)</f>
        <v>0</v>
      </c>
      <c r="P130" s="34">
        <f>SUM($I$130*'Materiálové hodnoty'!$E$5*'Materiálové hodnoty'!K5*$K$130)</f>
        <v>0</v>
      </c>
      <c r="Q130" s="34">
        <f>SUM($I$130*'Materiálové hodnoty'!$E$5*'Materiálové hodnoty'!L5*$K$130)</f>
        <v>0</v>
      </c>
    </row>
    <row r="132" spans="1:16" ht="12.75">
      <c r="A132" s="18"/>
      <c r="B132" s="63"/>
      <c r="C132" s="63"/>
      <c r="D132" s="63"/>
      <c r="E132" s="53"/>
      <c r="F132" s="63"/>
      <c r="G132" s="63"/>
      <c r="H132" s="63"/>
      <c r="I132" s="49"/>
      <c r="J132" s="49"/>
      <c r="K132" s="49"/>
      <c r="L132" s="56"/>
      <c r="M132" s="56"/>
      <c r="N132" s="56"/>
      <c r="O132" s="57"/>
      <c r="P132" s="57"/>
    </row>
    <row r="133" spans="1:17" ht="15">
      <c r="A133" s="42" t="s">
        <v>67</v>
      </c>
      <c r="B133" s="43"/>
      <c r="C133" s="43"/>
      <c r="D133" s="43"/>
      <c r="E133" s="44"/>
      <c r="F133" s="43"/>
      <c r="G133" s="43"/>
      <c r="H133" s="43"/>
      <c r="I133" s="42"/>
      <c r="J133" s="42"/>
      <c r="K133" s="42"/>
      <c r="L133" s="45"/>
      <c r="M133" s="45"/>
      <c r="N133" s="45"/>
      <c r="O133" s="46">
        <f>SUM(O135:O180)</f>
        <v>105060.57948000001</v>
      </c>
      <c r="P133" s="46">
        <f>SUM(P135:P180)</f>
        <v>8181.711504</v>
      </c>
      <c r="Q133" s="46">
        <f>SUM(Q135:Q180)</f>
        <v>36.79254650400001</v>
      </c>
    </row>
    <row r="134" spans="1:16" ht="12.75">
      <c r="A134" s="18"/>
      <c r="B134" s="18"/>
      <c r="C134" s="18"/>
      <c r="D134" s="18"/>
      <c r="E134" s="53"/>
      <c r="F134" s="18"/>
      <c r="G134" s="18"/>
      <c r="H134" s="18"/>
      <c r="I134" s="32"/>
      <c r="K134" s="32"/>
      <c r="L134" s="56"/>
      <c r="M134" s="56"/>
      <c r="N134" s="56"/>
      <c r="O134" s="57"/>
      <c r="P134" s="57"/>
    </row>
    <row r="135" spans="1:11" ht="12.75">
      <c r="A135" t="s">
        <v>66</v>
      </c>
      <c r="B135" s="47" t="s">
        <v>23</v>
      </c>
      <c r="C135" s="47" t="s">
        <v>24</v>
      </c>
      <c r="D135" s="47" t="s">
        <v>25</v>
      </c>
      <c r="E135" s="30" t="s">
        <v>26</v>
      </c>
      <c r="F135" s="47" t="s">
        <v>27</v>
      </c>
      <c r="G135" s="47" t="s">
        <v>28</v>
      </c>
      <c r="H135" s="47" t="s">
        <v>29</v>
      </c>
      <c r="I135" s="48" t="s">
        <v>30</v>
      </c>
      <c r="J135" s="49"/>
      <c r="K135" s="48"/>
    </row>
    <row r="136" spans="1:11" ht="12.75">
      <c r="A136" s="58" t="s">
        <v>102</v>
      </c>
      <c r="B136" s="50">
        <v>0</v>
      </c>
      <c r="C136" s="50">
        <v>0</v>
      </c>
      <c r="D136" s="50">
        <v>0</v>
      </c>
      <c r="E136" s="51">
        <v>1</v>
      </c>
      <c r="F136" s="50">
        <f>SUM(B136*C136*D136*E136)</f>
        <v>0</v>
      </c>
      <c r="G136" s="50">
        <v>0.69</v>
      </c>
      <c r="H136" s="50">
        <f>SUM(F136:G136)</f>
        <v>0.6900000000000001</v>
      </c>
      <c r="I136" s="48"/>
      <c r="J136" s="49"/>
      <c r="K136" s="48"/>
    </row>
    <row r="137" spans="1:17" ht="12.75">
      <c r="A137" s="58"/>
      <c r="B137" s="50">
        <v>0</v>
      </c>
      <c r="C137" s="50">
        <v>0</v>
      </c>
      <c r="D137" s="50">
        <v>0</v>
      </c>
      <c r="E137" s="51">
        <v>1</v>
      </c>
      <c r="F137" s="50">
        <f>SUM(B137*C137*D137*E137)</f>
        <v>0</v>
      </c>
      <c r="G137" s="50">
        <v>0</v>
      </c>
      <c r="H137" s="50">
        <f>SUM(F137:G137)</f>
        <v>0</v>
      </c>
      <c r="K137" s="52">
        <v>1</v>
      </c>
      <c r="L137" s="33" t="str">
        <f>('Materiálové hodnoty'!B10)</f>
        <v>Stavebné drevo sušené na vzduchu</v>
      </c>
      <c r="O137" s="34">
        <f>SUM($I$139*'Materiálové hodnoty'!$E10*'Materiálové hodnoty'!J10*$K137)</f>
        <v>704.214</v>
      </c>
      <c r="P137" s="34">
        <f>SUM($I$139*'Materiálové hodnoty'!$E10*'Materiálové hodnoty'!K10*$K137)</f>
        <v>-524.9934000000001</v>
      </c>
      <c r="Q137" s="34">
        <f>SUM($I$139*'Materiálové hodnoty'!$E10*'Materiálové hodnoty'!L10*$K137)</f>
        <v>0.46202400000000005</v>
      </c>
    </row>
    <row r="138" spans="1:17" ht="12.75">
      <c r="A138" s="58"/>
      <c r="B138" s="50">
        <v>0</v>
      </c>
      <c r="C138" s="50">
        <v>0</v>
      </c>
      <c r="D138" s="50">
        <v>0</v>
      </c>
      <c r="E138" s="51">
        <v>1</v>
      </c>
      <c r="F138" s="50">
        <f>SUM(B138*C138*D138*E138)</f>
        <v>0</v>
      </c>
      <c r="G138" s="50">
        <v>0</v>
      </c>
      <c r="H138" s="50">
        <f>SUM(F138:G138)</f>
        <v>0</v>
      </c>
      <c r="K138" s="52">
        <v>0</v>
      </c>
      <c r="L138" s="33" t="str">
        <f>('Materiálové hodnoty'!B11)</f>
        <v>Stavebné drevo technicky sušené</v>
      </c>
      <c r="O138" s="34">
        <f>SUM($I$139*'Materiálové hodnoty'!$E11*'Materiálové hodnoty'!J11*$K138)</f>
        <v>0</v>
      </c>
      <c r="P138" s="34">
        <f>SUM($I$139*'Materiálové hodnoty'!$E11*'Materiálové hodnoty'!K11*$K138)</f>
        <v>0</v>
      </c>
      <c r="Q138" s="34">
        <f>SUM($I$139*'Materiálové hodnoty'!$E11*'Materiálové hodnoty'!L11*$K138)</f>
        <v>0</v>
      </c>
    </row>
    <row r="139" spans="2:17" ht="12.75">
      <c r="B139" s="50">
        <v>0</v>
      </c>
      <c r="C139" s="50">
        <v>0</v>
      </c>
      <c r="D139" s="50">
        <v>0</v>
      </c>
      <c r="E139" s="51">
        <v>1</v>
      </c>
      <c r="F139" s="50">
        <f>SUM(B139*C139*D139*E139)</f>
        <v>0</v>
      </c>
      <c r="G139" s="50">
        <v>0</v>
      </c>
      <c r="H139" s="50">
        <f>SUM(F139:G139)</f>
        <v>0</v>
      </c>
      <c r="I139" s="31">
        <f>SUM(H136:H139)</f>
        <v>0.6900000000000001</v>
      </c>
      <c r="J139" s="32" t="s">
        <v>31</v>
      </c>
      <c r="K139" s="52">
        <v>0</v>
      </c>
      <c r="L139" s="33" t="str">
        <f>('Materiálové hodnoty'!B12)</f>
        <v>Lepené drevené hranoly</v>
      </c>
      <c r="O139" s="34">
        <f>SUM($I$139*'Materiálové hodnoty'!$E12*'Materiálové hodnoty'!J12*$K139)</f>
        <v>0</v>
      </c>
      <c r="P139" s="34">
        <f>SUM($I$139*'Materiálové hodnoty'!$E12*'Materiálové hodnoty'!K12*$K139)</f>
        <v>0</v>
      </c>
      <c r="Q139" s="34">
        <f>SUM($I$139*'Materiálové hodnoty'!$E12*'Materiálové hodnoty'!L12*$K139)</f>
        <v>0</v>
      </c>
    </row>
    <row r="140" spans="5:17" s="18" customFormat="1" ht="12.75">
      <c r="E140" s="53"/>
      <c r="I140" s="32"/>
      <c r="J140" s="32"/>
      <c r="K140" s="32"/>
      <c r="L140" s="56"/>
      <c r="M140" s="56"/>
      <c r="N140" s="56"/>
      <c r="O140" s="57"/>
      <c r="P140" s="57"/>
      <c r="Q140" s="57"/>
    </row>
    <row r="141" spans="1:11" ht="12.75">
      <c r="A141" t="s">
        <v>65</v>
      </c>
      <c r="B141" s="47" t="s">
        <v>23</v>
      </c>
      <c r="C141" s="47" t="s">
        <v>24</v>
      </c>
      <c r="D141" s="47" t="s">
        <v>48</v>
      </c>
      <c r="E141" s="30" t="s">
        <v>26</v>
      </c>
      <c r="F141" s="47" t="s">
        <v>27</v>
      </c>
      <c r="G141" s="47" t="s">
        <v>28</v>
      </c>
      <c r="H141" s="47" t="s">
        <v>29</v>
      </c>
      <c r="I141" s="48" t="s">
        <v>30</v>
      </c>
      <c r="J141" s="49"/>
      <c r="K141" s="48"/>
    </row>
    <row r="142" spans="2:8" ht="12.75">
      <c r="B142" s="50">
        <v>82.7</v>
      </c>
      <c r="C142" s="50">
        <v>1</v>
      </c>
      <c r="D142" s="50">
        <v>0.2</v>
      </c>
      <c r="E142" s="51">
        <v>1</v>
      </c>
      <c r="F142" s="50">
        <f>SUM(B142*C142*D142*E142)</f>
        <v>16.540000000000003</v>
      </c>
      <c r="G142" s="50">
        <v>0</v>
      </c>
      <c r="H142" s="50">
        <f>SUM(F142:G142)</f>
        <v>16.540000000000003</v>
      </c>
    </row>
    <row r="143" spans="2:8" ht="12.75">
      <c r="B143" s="50">
        <v>38</v>
      </c>
      <c r="C143" s="50">
        <v>0.16</v>
      </c>
      <c r="D143" s="50">
        <v>0.2</v>
      </c>
      <c r="E143" s="51">
        <v>1</v>
      </c>
      <c r="F143" s="50">
        <f>SUM(B143*C143*D143*E143)</f>
        <v>1.2160000000000002</v>
      </c>
      <c r="G143" s="50">
        <v>0</v>
      </c>
      <c r="H143" s="50">
        <f>SUM(F143:G143)</f>
        <v>1.2160000000000002</v>
      </c>
    </row>
    <row r="144" spans="2:17" ht="12.75">
      <c r="B144" s="50">
        <v>0</v>
      </c>
      <c r="C144" s="50">
        <v>0</v>
      </c>
      <c r="D144" s="50">
        <v>0</v>
      </c>
      <c r="E144" s="51">
        <v>1</v>
      </c>
      <c r="F144" s="50">
        <f>SUM(B144*C144*D144*E144)</f>
        <v>0</v>
      </c>
      <c r="G144" s="50">
        <v>0</v>
      </c>
      <c r="H144" s="50">
        <f>SUM(F144:G144)</f>
        <v>0</v>
      </c>
      <c r="I144" s="31">
        <f>SUM(H142:H144)</f>
        <v>17.756000000000004</v>
      </c>
      <c r="J144" s="32" t="s">
        <v>31</v>
      </c>
      <c r="K144" s="52">
        <v>1</v>
      </c>
      <c r="L144" s="33" t="str">
        <f>('Materiálové hodnoty'!B17)</f>
        <v>Železobetón</v>
      </c>
      <c r="O144" s="34">
        <f>SUM($I$144*'Materiálové hodnoty'!$E$17*'Materiálové hodnoty'!J17*$K$144)</f>
        <v>49858.848000000005</v>
      </c>
      <c r="P144" s="34">
        <f>SUM($I$144*'Materiálové hodnoty'!$E$17*'Materiálové hodnoty'!K17*$K$144)</f>
        <v>6520.003200000001</v>
      </c>
      <c r="Q144" s="34">
        <f>SUM($I$144*'Materiálové hodnoty'!$E$17*'Materiálové hodnoty'!L17*$K$144)</f>
        <v>22.202102400000005</v>
      </c>
    </row>
    <row r="145" spans="9:17" ht="12.75">
      <c r="I145" s="52">
        <v>0.9</v>
      </c>
      <c r="J145" s="32" t="s">
        <v>41</v>
      </c>
      <c r="K145" s="52">
        <v>1</v>
      </c>
      <c r="L145" s="33" t="s">
        <v>42</v>
      </c>
      <c r="M145" s="55">
        <f>SUM(I144*I145/100*7800)</f>
        <v>1246.4712000000002</v>
      </c>
      <c r="N145" s="33" t="s">
        <v>43</v>
      </c>
      <c r="O145" s="34">
        <f>SUM('Materiálové hodnoty'!$E$18*'Materiálové hodnoty'!J18*$I$144*$I$145*0.01*$K$144)</f>
        <v>28294.89624000001</v>
      </c>
      <c r="P145" s="34">
        <f>SUM('Materiálové hodnoty'!$E$18*'Materiálové hodnoty'!K18*$I$144*$I$145*0.01*$K$144)</f>
        <v>1165.4505720000002</v>
      </c>
      <c r="Q145" s="34">
        <f>SUM('Materiálové hodnoty'!$E$18*'Materiálové hodnoty'!L18*$I$144*$I$145*0.01*$K$144)</f>
        <v>7.067491704000003</v>
      </c>
    </row>
    <row r="146" spans="9:17" ht="12.75">
      <c r="I146" s="52">
        <v>0</v>
      </c>
      <c r="J146" s="32" t="s">
        <v>43</v>
      </c>
      <c r="K146" s="52">
        <v>0</v>
      </c>
      <c r="L146" s="33" t="s">
        <v>42</v>
      </c>
      <c r="O146" s="34">
        <f>SUM($I$146*$K$146*'Materiálové hodnoty'!J18)</f>
        <v>0</v>
      </c>
      <c r="P146" s="34">
        <f>SUM($I$146*$K$146*'Materiálové hodnoty'!K18)</f>
        <v>0</v>
      </c>
      <c r="Q146" s="34">
        <f>SUM($I$146*$K$146*'Materiálové hodnoty'!L18)</f>
        <v>0</v>
      </c>
    </row>
    <row r="147" spans="1:16" ht="12.75">
      <c r="A147" s="18"/>
      <c r="B147" s="18"/>
      <c r="C147" s="18"/>
      <c r="D147" s="18"/>
      <c r="E147" s="53"/>
      <c r="F147" s="18"/>
      <c r="G147" s="18"/>
      <c r="H147" s="18"/>
      <c r="I147" s="32"/>
      <c r="K147" s="32"/>
      <c r="L147" s="56"/>
      <c r="M147" s="56"/>
      <c r="N147" s="56"/>
      <c r="O147" s="57"/>
      <c r="P147" s="57"/>
    </row>
    <row r="148" spans="1:11" ht="12.75">
      <c r="A148" s="18" t="s">
        <v>72</v>
      </c>
      <c r="B148" s="47" t="s">
        <v>23</v>
      </c>
      <c r="C148" s="47" t="s">
        <v>24</v>
      </c>
      <c r="D148" s="47" t="s">
        <v>48</v>
      </c>
      <c r="E148" s="30" t="s">
        <v>26</v>
      </c>
      <c r="F148" s="47" t="s">
        <v>27</v>
      </c>
      <c r="G148" s="47" t="s">
        <v>28</v>
      </c>
      <c r="H148" s="47" t="s">
        <v>29</v>
      </c>
      <c r="I148" s="48" t="s">
        <v>30</v>
      </c>
      <c r="J148" s="49"/>
      <c r="K148" s="48"/>
    </row>
    <row r="149" spans="1:17" ht="12.75">
      <c r="A149" s="18"/>
      <c r="B149" s="50">
        <v>0</v>
      </c>
      <c r="C149" s="50">
        <v>1</v>
      </c>
      <c r="D149" s="64">
        <v>0.018000000000000002</v>
      </c>
      <c r="E149" s="51">
        <v>1</v>
      </c>
      <c r="F149" s="50">
        <f>SUM(B149*C149*D149*E149)</f>
        <v>0</v>
      </c>
      <c r="G149" s="50">
        <v>0</v>
      </c>
      <c r="H149" s="50">
        <f>SUM(F149:G149)</f>
        <v>0</v>
      </c>
      <c r="K149" s="52">
        <v>0</v>
      </c>
      <c r="L149" s="33" t="str">
        <f>('Materiálové hodnoty'!B30)</f>
        <v>Drevovláknitá doska</v>
      </c>
      <c r="O149" s="34">
        <f>SUM($I$154*'Materiálové hodnoty'!J30*'Materiálové hodnoty'!E30*$K149)</f>
        <v>0</v>
      </c>
      <c r="P149" s="34">
        <f>SUM($I$154*'Materiálové hodnoty'!K30*'Materiálové hodnoty'!E30*$K149)</f>
        <v>0</v>
      </c>
      <c r="Q149" s="34">
        <f>SUM($I$154*'Materiálové hodnoty'!L30*'Materiálové hodnoty'!E30*$K149)</f>
        <v>0</v>
      </c>
    </row>
    <row r="150" spans="1:17" ht="12.75">
      <c r="A150" s="18"/>
      <c r="B150" s="50">
        <v>0</v>
      </c>
      <c r="C150" s="50">
        <v>0</v>
      </c>
      <c r="D150" s="64">
        <v>0</v>
      </c>
      <c r="E150" s="51">
        <v>1</v>
      </c>
      <c r="F150" s="50">
        <f>SUM(B150*C150*D150*E150)</f>
        <v>0</v>
      </c>
      <c r="G150" s="50">
        <v>0</v>
      </c>
      <c r="H150" s="50">
        <f>SUM(F150:G150)</f>
        <v>0</v>
      </c>
      <c r="K150" s="52">
        <v>0</v>
      </c>
      <c r="L150" s="33" t="str">
        <f>('Materiálové hodnoty'!B31)</f>
        <v>Drevovláknitá doska</v>
      </c>
      <c r="O150" s="34">
        <f>SUM($I$154*'Materiálové hodnoty'!J31*'Materiálové hodnoty'!E31*$K150)</f>
        <v>0</v>
      </c>
      <c r="P150" s="34">
        <f>SUM($I$154*'Materiálové hodnoty'!K31*'Materiálové hodnoty'!E31*$K150)</f>
        <v>0</v>
      </c>
      <c r="Q150" s="34">
        <f>SUM($I$154*'Materiálové hodnoty'!L31*'Materiálové hodnoty'!E31*$K150)</f>
        <v>0</v>
      </c>
    </row>
    <row r="151" spans="1:17" ht="12.75">
      <c r="A151" s="18"/>
      <c r="B151" s="50">
        <v>0</v>
      </c>
      <c r="C151" s="50">
        <v>0</v>
      </c>
      <c r="D151" s="64">
        <v>0</v>
      </c>
      <c r="E151" s="51">
        <v>1</v>
      </c>
      <c r="F151" s="50">
        <f>SUM(B151*C151*D151*E151)</f>
        <v>0</v>
      </c>
      <c r="G151" s="50">
        <v>0</v>
      </c>
      <c r="H151" s="50">
        <f>SUM(F151:G151)</f>
        <v>0</v>
      </c>
      <c r="I151" s="48"/>
      <c r="J151" s="49"/>
      <c r="K151" s="52">
        <v>0</v>
      </c>
      <c r="L151" s="33" t="str">
        <f>('Materiálové hodnoty'!B32)</f>
        <v>Drevovláknitá doska</v>
      </c>
      <c r="O151" s="34">
        <f>SUM($I$154*'Materiálové hodnoty'!J32*'Materiálové hodnoty'!E32*$K151)</f>
        <v>0</v>
      </c>
      <c r="P151" s="34">
        <f>SUM($I$154*'Materiálové hodnoty'!K32*'Materiálové hodnoty'!E32*$K151)</f>
        <v>0</v>
      </c>
      <c r="Q151" s="34">
        <f>SUM($I$154*'Materiálové hodnoty'!L32*'Materiálové hodnoty'!E32*$K151)</f>
        <v>0</v>
      </c>
    </row>
    <row r="152" spans="1:17" ht="12.75">
      <c r="A152" s="18"/>
      <c r="B152" s="50">
        <v>0</v>
      </c>
      <c r="C152" s="50">
        <v>0</v>
      </c>
      <c r="D152" s="64">
        <v>0</v>
      </c>
      <c r="E152" s="51">
        <v>1</v>
      </c>
      <c r="F152" s="50">
        <f>SUM(B152*C152*D152*E152)</f>
        <v>0</v>
      </c>
      <c r="G152" s="50">
        <v>0</v>
      </c>
      <c r="H152" s="50">
        <f>SUM(F152:G152)</f>
        <v>0</v>
      </c>
      <c r="K152" s="52">
        <v>0</v>
      </c>
      <c r="L152" s="33" t="str">
        <f>('Materiálové hodnoty'!B33)</f>
        <v>Drevený záklop</v>
      </c>
      <c r="O152" s="34">
        <f>SUM($I$154*'Materiálové hodnoty'!J33*'Materiálové hodnoty'!E33*$K152)</f>
        <v>0</v>
      </c>
      <c r="P152" s="34">
        <f>SUM($I$154*'Materiálové hodnoty'!K33*'Materiálové hodnoty'!E33*$K152)</f>
        <v>0</v>
      </c>
      <c r="Q152" s="34">
        <f>SUM($I$154*'Materiálové hodnoty'!L33*'Materiálové hodnoty'!E33*$K152)</f>
        <v>0</v>
      </c>
    </row>
    <row r="153" spans="1:17" ht="12.75">
      <c r="A153" s="18"/>
      <c r="B153" s="50">
        <v>0</v>
      </c>
      <c r="C153" s="50">
        <v>0</v>
      </c>
      <c r="D153" s="64">
        <v>0</v>
      </c>
      <c r="E153" s="51">
        <v>1</v>
      </c>
      <c r="F153" s="50">
        <f>SUM(B153*C153*D153*E153)</f>
        <v>0</v>
      </c>
      <c r="G153" s="50">
        <v>0</v>
      </c>
      <c r="H153" s="50">
        <f>SUM(F153:G153)</f>
        <v>0</v>
      </c>
      <c r="K153" s="52">
        <v>0</v>
      </c>
      <c r="L153" s="33" t="str">
        <f>('Materiálové hodnoty'!B34)</f>
        <v>MDF </v>
      </c>
      <c r="O153" s="34">
        <f>SUM($I$154*'Materiálové hodnoty'!J34*'Materiálové hodnoty'!E34*$K153)</f>
        <v>0</v>
      </c>
      <c r="P153" s="34">
        <f>SUM($I$154*'Materiálové hodnoty'!K34*'Materiálové hodnoty'!E34*$K153)</f>
        <v>0</v>
      </c>
      <c r="Q153" s="34">
        <f>SUM($I$154*'Materiálové hodnoty'!L34*'Materiálové hodnoty'!E34*$K153)</f>
        <v>0</v>
      </c>
    </row>
    <row r="154" spans="1:17" ht="12.75">
      <c r="A154" s="18"/>
      <c r="B154" s="50">
        <v>0</v>
      </c>
      <c r="C154" s="50">
        <v>0</v>
      </c>
      <c r="D154" s="64">
        <v>0</v>
      </c>
      <c r="E154" s="51">
        <v>1</v>
      </c>
      <c r="F154" s="50">
        <f>SUM(B154*C154*D154*E154)</f>
        <v>0</v>
      </c>
      <c r="G154" s="50">
        <v>0</v>
      </c>
      <c r="H154" s="50">
        <f>SUM(F154:G154)</f>
        <v>0</v>
      </c>
      <c r="I154" s="31">
        <f>SUM(H149:H154)</f>
        <v>0</v>
      </c>
      <c r="J154" s="32" t="s">
        <v>31</v>
      </c>
      <c r="K154" s="52">
        <v>1</v>
      </c>
      <c r="L154" s="33" t="str">
        <f>('Materiálové hodnoty'!B35)</f>
        <v>OSB</v>
      </c>
      <c r="O154" s="34">
        <f>SUM($I$154*'Materiálové hodnoty'!J35*'Materiálové hodnoty'!E35*$K154)</f>
        <v>0</v>
      </c>
      <c r="P154" s="34">
        <f>SUM($I$154*'Materiálové hodnoty'!K35*'Materiálové hodnoty'!E35*$K154)</f>
        <v>0</v>
      </c>
      <c r="Q154" s="34">
        <f>SUM($I$154*'Materiálové hodnoty'!L35*'Materiálové hodnoty'!E35*$K154)</f>
        <v>0</v>
      </c>
    </row>
    <row r="155" spans="4:17" s="18" customFormat="1" ht="12.75">
      <c r="D155" s="65"/>
      <c r="E155" s="53"/>
      <c r="I155" s="32"/>
      <c r="J155" s="32"/>
      <c r="K155" s="32"/>
      <c r="L155" s="56"/>
      <c r="M155" s="56"/>
      <c r="N155" s="56"/>
      <c r="O155" s="57"/>
      <c r="P155" s="57"/>
      <c r="Q155" s="57"/>
    </row>
    <row r="156" spans="1:11" ht="12.75">
      <c r="A156" t="s">
        <v>34</v>
      </c>
      <c r="B156" s="47" t="s">
        <v>23</v>
      </c>
      <c r="C156" s="47" t="s">
        <v>24</v>
      </c>
      <c r="D156" s="47"/>
      <c r="E156" s="30" t="s">
        <v>26</v>
      </c>
      <c r="F156" s="47" t="s">
        <v>35</v>
      </c>
      <c r="G156" s="47" t="s">
        <v>28</v>
      </c>
      <c r="H156" s="47" t="s">
        <v>29</v>
      </c>
      <c r="I156" s="48" t="s">
        <v>30</v>
      </c>
      <c r="J156" s="49"/>
      <c r="K156" s="48"/>
    </row>
    <row r="157" spans="2:8" ht="12.75">
      <c r="B157" s="50">
        <v>0</v>
      </c>
      <c r="C157" s="50">
        <v>1</v>
      </c>
      <c r="D157" s="50"/>
      <c r="E157" s="51">
        <v>1</v>
      </c>
      <c r="F157" s="50">
        <f>SUM(B157*C157*E157)</f>
        <v>0</v>
      </c>
      <c r="G157" s="50">
        <v>0</v>
      </c>
      <c r="H157" s="50">
        <f>SUM(F157:G157)</f>
        <v>0</v>
      </c>
    </row>
    <row r="158" spans="2:8" ht="12.75">
      <c r="B158" s="50">
        <v>0</v>
      </c>
      <c r="C158" s="50">
        <v>0</v>
      </c>
      <c r="D158" s="50"/>
      <c r="E158" s="51">
        <v>1</v>
      </c>
      <c r="F158" s="50">
        <f>SUM(B158*C158*E158)</f>
        <v>0</v>
      </c>
      <c r="G158" s="50">
        <v>0</v>
      </c>
      <c r="H158" s="50">
        <f>SUM(F158:G158)</f>
        <v>0</v>
      </c>
    </row>
    <row r="159" spans="2:17" ht="12.75">
      <c r="B159" s="50">
        <v>0</v>
      </c>
      <c r="C159" s="50">
        <v>0</v>
      </c>
      <c r="D159" s="50"/>
      <c r="E159" s="51">
        <v>1</v>
      </c>
      <c r="F159" s="50">
        <f>SUM(B159*C159*E159)</f>
        <v>0</v>
      </c>
      <c r="G159" s="50">
        <v>0</v>
      </c>
      <c r="H159" s="50">
        <f>SUM(F159:G159)</f>
        <v>0</v>
      </c>
      <c r="I159" s="31">
        <f>SUM(H157:H159)</f>
        <v>0</v>
      </c>
      <c r="J159" s="32" t="s">
        <v>36</v>
      </c>
      <c r="K159" s="52">
        <v>0</v>
      </c>
      <c r="L159" s="33" t="str">
        <f>('Materiálové hodnoty'!B140)</f>
        <v>Geotextília</v>
      </c>
      <c r="M159" s="54">
        <v>150</v>
      </c>
      <c r="N159" s="33" t="s">
        <v>37</v>
      </c>
      <c r="O159" s="34">
        <f>SUM('Materiálové hodnoty'!J140*$M$159*0.001*$I$159*$K$159)</f>
        <v>0</v>
      </c>
      <c r="P159" s="34">
        <f>SUM('Materiálové hodnoty'!K140*$M$159*0.001*$I$159*$K$159)</f>
        <v>0</v>
      </c>
      <c r="Q159" s="34">
        <f>SUM('Materiálové hodnoty'!L140*$M$159*0.001*$I$159*$K$159)</f>
        <v>0</v>
      </c>
    </row>
    <row r="160" spans="4:17" s="18" customFormat="1" ht="12.75">
      <c r="D160" s="65"/>
      <c r="E160" s="53"/>
      <c r="I160" s="32"/>
      <c r="J160" s="32"/>
      <c r="K160" s="32"/>
      <c r="L160" s="56"/>
      <c r="M160" s="56"/>
      <c r="N160" s="56"/>
      <c r="O160" s="57"/>
      <c r="P160" s="57"/>
      <c r="Q160" s="57"/>
    </row>
    <row r="161" spans="1:16" ht="12.75">
      <c r="A161" s="18"/>
      <c r="B161" s="18"/>
      <c r="C161" s="18"/>
      <c r="D161" s="18"/>
      <c r="E161" s="53"/>
      <c r="F161" s="18"/>
      <c r="G161" s="18"/>
      <c r="H161" s="18"/>
      <c r="I161" s="32"/>
      <c r="K161" s="32"/>
      <c r="L161" s="56"/>
      <c r="M161" s="56"/>
      <c r="N161" s="56"/>
      <c r="O161" s="57"/>
      <c r="P161" s="57"/>
    </row>
    <row r="162" spans="1:11" ht="12.75">
      <c r="A162" s="31" t="s">
        <v>73</v>
      </c>
      <c r="B162" s="47" t="s">
        <v>23</v>
      </c>
      <c r="C162" s="47" t="s">
        <v>24</v>
      </c>
      <c r="D162" s="47"/>
      <c r="E162" s="30" t="s">
        <v>26</v>
      </c>
      <c r="F162" s="47" t="s">
        <v>35</v>
      </c>
      <c r="G162" s="47" t="s">
        <v>28</v>
      </c>
      <c r="H162" s="47" t="s">
        <v>29</v>
      </c>
      <c r="I162" s="48" t="s">
        <v>30</v>
      </c>
      <c r="J162" s="49"/>
      <c r="K162" s="48"/>
    </row>
    <row r="163" spans="1:17" ht="12.75">
      <c r="A163" s="59" t="s">
        <v>74</v>
      </c>
      <c r="B163" s="50">
        <v>114</v>
      </c>
      <c r="C163" s="50">
        <v>1</v>
      </c>
      <c r="D163" s="50"/>
      <c r="E163" s="51">
        <v>1</v>
      </c>
      <c r="F163" s="50">
        <f>SUM(B163*C163*E163)</f>
        <v>114</v>
      </c>
      <c r="G163" s="50"/>
      <c r="H163" s="50">
        <f>SUM(F163:G163)</f>
        <v>114</v>
      </c>
      <c r="K163" s="52">
        <v>0</v>
      </c>
      <c r="L163" s="33" t="str">
        <f>'Materiálové hodnoty'!B126</f>
        <v>Medený plech</v>
      </c>
      <c r="O163" s="34">
        <f>SUM($I$173*'Materiálové hodnoty'!N126*$K163)</f>
        <v>0</v>
      </c>
      <c r="P163" s="34">
        <f>SUM($I$173*'Materiálové hodnoty'!O126*$K163)</f>
        <v>0</v>
      </c>
      <c r="Q163" s="34">
        <f>SUM($I$173*'Materiálové hodnoty'!P126*$K163)</f>
        <v>0</v>
      </c>
    </row>
    <row r="164" spans="1:17" ht="12.75">
      <c r="A164" s="59" t="s">
        <v>75</v>
      </c>
      <c r="B164" s="50">
        <v>14</v>
      </c>
      <c r="C164" s="50">
        <v>1</v>
      </c>
      <c r="D164" s="50"/>
      <c r="E164" s="51">
        <v>1</v>
      </c>
      <c r="F164" s="50">
        <f>SUM(B164*C164*E164)</f>
        <v>14</v>
      </c>
      <c r="G164" s="50">
        <v>0</v>
      </c>
      <c r="H164" s="50">
        <f>SUM(F164:G164)</f>
        <v>14</v>
      </c>
      <c r="K164" s="52">
        <v>0</v>
      </c>
      <c r="L164" s="33" t="str">
        <f>'Materiálové hodnoty'!B127</f>
        <v>Titánzinok</v>
      </c>
      <c r="O164" s="34">
        <f>SUM($I$173*'Materiálové hodnoty'!N127*$K164)</f>
        <v>0</v>
      </c>
      <c r="P164" s="34">
        <f>SUM($I$173*'Materiálové hodnoty'!O127*$K164)</f>
        <v>0</v>
      </c>
      <c r="Q164" s="34">
        <f>SUM($I$173*'Materiálové hodnoty'!P127*$K164)</f>
        <v>0</v>
      </c>
    </row>
    <row r="165" spans="1:17" ht="12.75">
      <c r="A165" s="59" t="s">
        <v>76</v>
      </c>
      <c r="B165" s="50">
        <v>0</v>
      </c>
      <c r="C165" s="50">
        <v>0</v>
      </c>
      <c r="D165" s="50"/>
      <c r="E165" s="51">
        <v>1</v>
      </c>
      <c r="F165" s="50">
        <f>SUM(B165*C165*E165)</f>
        <v>0</v>
      </c>
      <c r="G165" s="50">
        <v>0</v>
      </c>
      <c r="H165" s="50">
        <f>SUM(F165:G165)</f>
        <v>0</v>
      </c>
      <c r="K165" s="52">
        <v>0</v>
      </c>
      <c r="L165" s="33" t="str">
        <f>'Materiálové hodnoty'!B128</f>
        <v>Pozinkovaný plech </v>
      </c>
      <c r="O165" s="34">
        <f>SUM($I$173*'Materiálové hodnoty'!N128*$K165)</f>
        <v>0</v>
      </c>
      <c r="P165" s="34">
        <f>SUM($I$173*'Materiálové hodnoty'!O128*$K165)</f>
        <v>0</v>
      </c>
      <c r="Q165" s="34">
        <f>SUM($I$173*'Materiálové hodnoty'!P128*$K165)</f>
        <v>0</v>
      </c>
    </row>
    <row r="166" spans="1:17" ht="12.75">
      <c r="A166" s="59" t="s">
        <v>77</v>
      </c>
      <c r="B166" s="50">
        <v>0</v>
      </c>
      <c r="C166" s="50">
        <v>0</v>
      </c>
      <c r="D166" s="50"/>
      <c r="E166" s="51">
        <v>1</v>
      </c>
      <c r="F166" s="50">
        <f>SUM(B166*C166*D166*E166)</f>
        <v>0</v>
      </c>
      <c r="G166" s="50">
        <v>0</v>
      </c>
      <c r="H166" s="50">
        <f>SUM(F166:G166)</f>
        <v>0</v>
      </c>
      <c r="K166" s="52">
        <v>0</v>
      </c>
      <c r="L166" s="33" t="str">
        <f>'Materiálové hodnoty'!B129</f>
        <v>Hliníkový plech s práškovou farbou</v>
      </c>
      <c r="O166" s="34">
        <f>SUM($I$173*'Materiálové hodnoty'!N129*$K166)</f>
        <v>0</v>
      </c>
      <c r="P166" s="34">
        <f>SUM($I$173*'Materiálové hodnoty'!O129*$K166)</f>
        <v>0</v>
      </c>
      <c r="Q166" s="34">
        <f>SUM($I$173*'Materiálové hodnoty'!P129*$K166)</f>
        <v>0</v>
      </c>
    </row>
    <row r="167" spans="1:11" ht="12.75">
      <c r="A167" s="60" t="s">
        <v>58</v>
      </c>
      <c r="B167" s="50">
        <v>0</v>
      </c>
      <c r="C167" s="50">
        <v>0</v>
      </c>
      <c r="D167" s="50"/>
      <c r="E167" s="51">
        <v>1</v>
      </c>
      <c r="F167" s="50">
        <f>SUM(B167*C167*E167)</f>
        <v>0</v>
      </c>
      <c r="G167" s="50">
        <v>0</v>
      </c>
      <c r="H167" s="50">
        <f>SUM(F167:G167)</f>
        <v>0</v>
      </c>
      <c r="I167"/>
      <c r="J167"/>
      <c r="K167" s="52">
        <v>0</v>
      </c>
    </row>
    <row r="168" spans="1:17" ht="12.75">
      <c r="A168" s="60" t="s">
        <v>58</v>
      </c>
      <c r="B168" s="50">
        <v>0</v>
      </c>
      <c r="C168" s="50">
        <v>0</v>
      </c>
      <c r="D168" s="50"/>
      <c r="E168" s="51">
        <v>1</v>
      </c>
      <c r="F168" s="50">
        <f>SUM(B168*C168*E168)</f>
        <v>0</v>
      </c>
      <c r="G168" s="50">
        <v>0</v>
      </c>
      <c r="H168" s="50">
        <f>SUM(F168:G168)</f>
        <v>0</v>
      </c>
      <c r="K168" s="52">
        <v>0</v>
      </c>
      <c r="L168" s="33" t="str">
        <f>'Materiálové hodnoty'!B131</f>
        <v>Hliníkový plech eloxovaný</v>
      </c>
      <c r="O168" s="34">
        <f>SUM($I$173*'Materiálové hodnoty'!N131*$K168)</f>
        <v>0</v>
      </c>
      <c r="P168" s="34">
        <f>SUM($I$173*'Materiálové hodnoty'!O131*$K168)</f>
        <v>0</v>
      </c>
      <c r="Q168" s="34">
        <f>SUM($I$173*'Materiálové hodnoty'!P131*$K168)</f>
        <v>0</v>
      </c>
    </row>
    <row r="169" spans="1:17" ht="12.75">
      <c r="A169" s="60" t="s">
        <v>58</v>
      </c>
      <c r="B169" s="50">
        <v>0</v>
      </c>
      <c r="C169" s="50">
        <v>0</v>
      </c>
      <c r="D169" s="50"/>
      <c r="E169" s="51">
        <v>1</v>
      </c>
      <c r="F169" s="50">
        <f>SUM(B169*C169*E169)</f>
        <v>0</v>
      </c>
      <c r="G169" s="50">
        <v>0</v>
      </c>
      <c r="H169" s="50">
        <f>SUM(F169:G169)</f>
        <v>0</v>
      </c>
      <c r="K169" s="52">
        <v>0</v>
      </c>
      <c r="L169" s="33" t="str">
        <f>'Materiálové hodnoty'!B132</f>
        <v>Pálená hlinená škridla</v>
      </c>
      <c r="O169" s="34">
        <f>SUM($I$173*'Materiálové hodnoty'!N132*$K169)</f>
        <v>0</v>
      </c>
      <c r="P169" s="34">
        <f>SUM($I$173*'Materiálové hodnoty'!O132*$K169)</f>
        <v>0</v>
      </c>
      <c r="Q169" s="34">
        <f>SUM($I$173*'Materiálové hodnoty'!P132*$K169)</f>
        <v>0</v>
      </c>
    </row>
    <row r="170" spans="1:17" ht="12.75">
      <c r="A170" s="60" t="s">
        <v>58</v>
      </c>
      <c r="B170" s="50">
        <v>0</v>
      </c>
      <c r="C170" s="50">
        <v>0</v>
      </c>
      <c r="D170" s="50"/>
      <c r="E170" s="51">
        <v>1</v>
      </c>
      <c r="F170" s="50">
        <f>SUM(B170*C170*E170)</f>
        <v>0</v>
      </c>
      <c r="G170" s="50">
        <v>0</v>
      </c>
      <c r="H170" s="50">
        <f>SUM(F170:G170)</f>
        <v>0</v>
      </c>
      <c r="K170" s="52">
        <v>0</v>
      </c>
      <c r="L170" s="33" t="str">
        <f>'Materiálové hodnoty'!B133</f>
        <v>Betónová škridla</v>
      </c>
      <c r="O170" s="34">
        <f>SUM($I$173*'Materiálové hodnoty'!N133*$K170)</f>
        <v>0</v>
      </c>
      <c r="P170" s="34">
        <f>SUM($I$173*'Materiálové hodnoty'!O133*$K170)</f>
        <v>0</v>
      </c>
      <c r="Q170" s="34">
        <f>SUM($I$173*'Materiálové hodnoty'!P133*$K170)</f>
        <v>0</v>
      </c>
    </row>
    <row r="171" spans="1:17" ht="12.75">
      <c r="A171" s="60" t="s">
        <v>58</v>
      </c>
      <c r="B171" s="50">
        <v>0</v>
      </c>
      <c r="C171" s="50">
        <v>0</v>
      </c>
      <c r="D171" s="50"/>
      <c r="E171" s="51">
        <v>1</v>
      </c>
      <c r="F171" s="50">
        <f>SUM(B171*C171*E171)</f>
        <v>0</v>
      </c>
      <c r="G171" s="50">
        <v>0</v>
      </c>
      <c r="H171" s="50">
        <f>SUM(F171:G171)</f>
        <v>0</v>
      </c>
      <c r="K171" s="52">
        <v>0</v>
      </c>
      <c r="L171" s="33" t="str">
        <f>'Materiálové hodnoty'!B134</f>
        <v>EPDM</v>
      </c>
      <c r="O171" s="34">
        <f>SUM($I$173*'Materiálové hodnoty'!N134*$K171)</f>
        <v>0</v>
      </c>
      <c r="P171" s="34">
        <f>SUM($I$173*'Materiálové hodnoty'!O134*$K171)</f>
        <v>0</v>
      </c>
      <c r="Q171" s="34">
        <f>SUM($I$173*'Materiálové hodnoty'!P134*$K171)</f>
        <v>0</v>
      </c>
    </row>
    <row r="172" spans="1:17" ht="12.75">
      <c r="A172" s="61" t="s">
        <v>59</v>
      </c>
      <c r="B172" s="50">
        <v>0</v>
      </c>
      <c r="C172" s="50">
        <v>0</v>
      </c>
      <c r="D172" s="50"/>
      <c r="E172" s="51">
        <v>-1</v>
      </c>
      <c r="F172" s="50">
        <f>SUM(B172*C172*E172)</f>
        <v>0</v>
      </c>
      <c r="G172" s="50">
        <v>0</v>
      </c>
      <c r="H172" s="50">
        <f>SUM(F172:G172)</f>
        <v>0</v>
      </c>
      <c r="K172" s="52">
        <v>1</v>
      </c>
      <c r="L172" s="33" t="str">
        <f>'Materiálové hodnoty'!B135</f>
        <v>Polymerbitumenová fólia</v>
      </c>
      <c r="O172" s="34">
        <f>SUM($I$173*'Materiálové hodnoty'!N135*$K172:K172)</f>
        <v>21584.64</v>
      </c>
      <c r="P172" s="34">
        <f>SUM($I$173*'Materiálové hodnoty'!O135*$K172:K172)</f>
        <v>489.9839999999999</v>
      </c>
      <c r="Q172" s="34">
        <f>SUM($I$173*'Materiálové hodnoty'!P135*$K172:K172)</f>
        <v>3.066624</v>
      </c>
    </row>
    <row r="173" spans="1:17" ht="12.75">
      <c r="A173" s="61" t="s">
        <v>59</v>
      </c>
      <c r="B173" s="50">
        <v>0</v>
      </c>
      <c r="C173" s="50">
        <v>0</v>
      </c>
      <c r="D173" s="50"/>
      <c r="E173" s="51">
        <v>-1</v>
      </c>
      <c r="F173" s="50">
        <f>SUM(B173*C173*E173)</f>
        <v>0</v>
      </c>
      <c r="G173" s="50">
        <v>0</v>
      </c>
      <c r="H173" s="50">
        <f>SUM(F173:G173)</f>
        <v>0</v>
      </c>
      <c r="I173" s="31">
        <f>SUM(H163:H173)</f>
        <v>128</v>
      </c>
      <c r="J173" s="32" t="s">
        <v>36</v>
      </c>
      <c r="K173" s="52">
        <v>0</v>
      </c>
      <c r="L173" t="s">
        <v>78</v>
      </c>
      <c r="M173"/>
      <c r="N173"/>
      <c r="O173" s="34">
        <f>SUM($I$173*'Materiálové hodnoty'!E10*'Materiálové hodnoty'!J10*0.018*$K173)</f>
        <v>0</v>
      </c>
      <c r="P173" s="34">
        <f>SUM($I$173*'Materiálové hodnoty'!F10*'Materiálové hodnoty'!K10*0.018*$K173)</f>
        <v>0</v>
      </c>
      <c r="Q173" s="34">
        <f>SUM($I$173*'Materiálové hodnoty'!G10*'Materiálové hodnoty'!L10*0.018*$K173)</f>
        <v>0</v>
      </c>
    </row>
    <row r="174" spans="1:14" ht="12.75">
      <c r="A174" s="61"/>
      <c r="B174" s="18"/>
      <c r="C174" s="18"/>
      <c r="D174" s="18"/>
      <c r="E174" s="53"/>
      <c r="F174" s="18"/>
      <c r="G174" s="18"/>
      <c r="H174" s="18"/>
      <c r="I174" s="32"/>
      <c r="K174" s="32"/>
      <c r="L174" s="18"/>
      <c r="M174"/>
      <c r="N174"/>
    </row>
    <row r="175" spans="1:11" ht="12.75">
      <c r="A175" t="s">
        <v>79</v>
      </c>
      <c r="B175" s="47" t="s">
        <v>23</v>
      </c>
      <c r="C175" s="47" t="s">
        <v>24</v>
      </c>
      <c r="D175" s="47" t="s">
        <v>25</v>
      </c>
      <c r="E175" s="30" t="s">
        <v>26</v>
      </c>
      <c r="F175" s="47" t="s">
        <v>27</v>
      </c>
      <c r="G175" s="47" t="s">
        <v>28</v>
      </c>
      <c r="H175" s="47" t="s">
        <v>29</v>
      </c>
      <c r="I175" s="48" t="s">
        <v>30</v>
      </c>
      <c r="J175" s="49"/>
      <c r="K175" s="48"/>
    </row>
    <row r="176" spans="1:11" ht="12.75">
      <c r="A176" s="58"/>
      <c r="B176" s="50">
        <v>82.8</v>
      </c>
      <c r="C176" s="50">
        <v>1</v>
      </c>
      <c r="D176" s="50">
        <v>0.15</v>
      </c>
      <c r="E176" s="51">
        <v>1</v>
      </c>
      <c r="F176" s="50">
        <f>SUM(B176*C176*D176*E176)</f>
        <v>12.42</v>
      </c>
      <c r="G176" s="50">
        <v>0</v>
      </c>
      <c r="H176" s="50">
        <f>SUM(F176:G176)</f>
        <v>12.42</v>
      </c>
      <c r="I176" s="48"/>
      <c r="J176" s="49"/>
      <c r="K176" s="48"/>
    </row>
    <row r="177" spans="1:17" ht="12.75">
      <c r="A177" s="58"/>
      <c r="B177" s="50">
        <v>38</v>
      </c>
      <c r="C177" s="50">
        <v>0.2</v>
      </c>
      <c r="D177" s="50">
        <v>0.15</v>
      </c>
      <c r="E177" s="51">
        <v>-1</v>
      </c>
      <c r="F177" s="50">
        <f>SUM(B177*C177*D177*E177)</f>
        <v>-1.1400000000000001</v>
      </c>
      <c r="G177" s="50">
        <v>0</v>
      </c>
      <c r="H177" s="50">
        <f>SUM(F177:G177)</f>
        <v>-1.1400000000000001</v>
      </c>
      <c r="K177" s="52">
        <v>0.30000000000000004</v>
      </c>
      <c r="L177" s="33" t="str">
        <f>('Materiálové hodnoty'!B69)</f>
        <v>Keramzit</v>
      </c>
      <c r="O177" s="34">
        <f>SUM($I$179*'Materiálové hodnoty'!$E69*'Materiálové hodnoty'!J69*$K177)</f>
        <v>3316.320000000001</v>
      </c>
      <c r="P177" s="34">
        <f>SUM($I$179*'Materiálové hodnoty'!$E69*'Materiálové hodnoty'!K69*$K177)</f>
        <v>450.7488000000001</v>
      </c>
      <c r="Q177" s="34">
        <f>SUM($I$179*'Materiálové hodnoty'!$E69*'Materiálové hodnoty'!L69*$K177)</f>
        <v>2.9102400000000004</v>
      </c>
    </row>
    <row r="178" spans="1:17" ht="12.75">
      <c r="A178" s="58"/>
      <c r="B178" s="50">
        <v>0</v>
      </c>
      <c r="C178" s="50">
        <v>0</v>
      </c>
      <c r="D178" s="50">
        <v>0</v>
      </c>
      <c r="E178" s="51">
        <v>1</v>
      </c>
      <c r="F178" s="50">
        <f>SUM(B178*C178*D178*E178)</f>
        <v>0</v>
      </c>
      <c r="G178" s="50">
        <v>0</v>
      </c>
      <c r="H178" s="50">
        <f>SUM(F178:G178)</f>
        <v>0</v>
      </c>
      <c r="K178" s="52">
        <v>0.4</v>
      </c>
      <c r="L178" s="33" t="s">
        <v>80</v>
      </c>
      <c r="O178" s="34">
        <f>SUM($I$179*'Materiálové hodnoty'!$E6*'Materiálové hodnoty'!J6*$K178)</f>
        <v>794.1120000000001</v>
      </c>
      <c r="P178" s="34">
        <f>SUM($I$179*'Materiálové hodnoty'!$E6*'Materiálové hodnoty'!K6*$K178)</f>
        <v>50.534400000000005</v>
      </c>
      <c r="Q178" s="34">
        <f>SUM($I$179*'Materiálové hodnoty'!$E6*'Materiálové hodnoty'!L6*$K178)</f>
        <v>0.8663040000000001</v>
      </c>
    </row>
    <row r="179" spans="2:17" ht="12.75">
      <c r="B179" s="50">
        <v>0</v>
      </c>
      <c r="C179" s="50">
        <v>0</v>
      </c>
      <c r="D179" s="50">
        <v>0</v>
      </c>
      <c r="E179" s="51">
        <v>1</v>
      </c>
      <c r="F179" s="50">
        <f>SUM(B179*C179*D179*E179)</f>
        <v>0</v>
      </c>
      <c r="G179" s="50">
        <v>0</v>
      </c>
      <c r="H179" s="50">
        <f>SUM(F179:G179)</f>
        <v>0</v>
      </c>
      <c r="I179" s="31">
        <f>SUM(H176:H179)</f>
        <v>11.28</v>
      </c>
      <c r="J179" s="32" t="s">
        <v>31</v>
      </c>
      <c r="K179" s="52">
        <v>0.30000000000000004</v>
      </c>
      <c r="L179" s="33" t="str">
        <f>('Materiálové hodnoty'!B7)</f>
        <v>Piesok, vlhký 20%</v>
      </c>
      <c r="O179" s="34">
        <f>SUM($I$179*'Materiálové hodnoty'!$E7*'Materiálové hodnoty'!J7*$K179)</f>
        <v>507.5492400000001</v>
      </c>
      <c r="P179" s="34">
        <f>SUM($I$179*'Materiálové hodnoty'!$E7*'Materiálové hodnoty'!K7*$K179)</f>
        <v>29.983932000000006</v>
      </c>
      <c r="Q179" s="34">
        <f>SUM($I$179*'Materiálové hodnoty'!$E7*'Materiálové hodnoty'!L7*$K179)</f>
        <v>0.21776040000000002</v>
      </c>
    </row>
    <row r="180" spans="1:14" ht="12.75">
      <c r="A180" s="61"/>
      <c r="B180" s="18"/>
      <c r="C180" s="18"/>
      <c r="D180" s="18"/>
      <c r="E180" s="53"/>
      <c r="F180" s="18"/>
      <c r="G180" s="18"/>
      <c r="H180" s="18"/>
      <c r="I180" s="32"/>
      <c r="K180" s="32"/>
      <c r="L180" s="18"/>
      <c r="M180"/>
      <c r="N180"/>
    </row>
    <row r="181" spans="11:12" ht="12.75">
      <c r="K181" s="32"/>
      <c r="L181" s="62"/>
    </row>
    <row r="182" spans="1:17" ht="15">
      <c r="A182" s="42" t="s">
        <v>47</v>
      </c>
      <c r="B182" s="43"/>
      <c r="C182" s="43"/>
      <c r="D182" s="43"/>
      <c r="E182" s="44"/>
      <c r="F182" s="43"/>
      <c r="G182" s="43"/>
      <c r="H182" s="43"/>
      <c r="I182" s="42"/>
      <c r="J182" s="42"/>
      <c r="K182" s="42"/>
      <c r="L182" s="45"/>
      <c r="M182" s="45"/>
      <c r="N182" s="45"/>
      <c r="O182" s="46">
        <f>SUM(O184:O235)</f>
        <v>317787.188325</v>
      </c>
      <c r="P182" s="46">
        <f>SUM(P184:P235)</f>
        <v>10838.66146375</v>
      </c>
      <c r="Q182" s="46">
        <f>SUM(Q184:Q235)</f>
        <v>67.6170698075</v>
      </c>
    </row>
    <row r="184" spans="1:11" ht="12.75">
      <c r="A184" s="31" t="s">
        <v>81</v>
      </c>
      <c r="B184" s="47" t="s">
        <v>82</v>
      </c>
      <c r="C184" s="47" t="s">
        <v>24</v>
      </c>
      <c r="D184" s="47" t="s">
        <v>48</v>
      </c>
      <c r="E184" s="30" t="s">
        <v>26</v>
      </c>
      <c r="F184" s="47" t="s">
        <v>27</v>
      </c>
      <c r="G184" s="47" t="s">
        <v>28</v>
      </c>
      <c r="H184" s="47" t="s">
        <v>29</v>
      </c>
      <c r="I184" s="48" t="s">
        <v>30</v>
      </c>
      <c r="K184" s="32"/>
    </row>
    <row r="185" ht="12.75">
      <c r="K185" s="32"/>
    </row>
    <row r="186" spans="2:17" ht="12.75">
      <c r="B186" s="50">
        <v>45.5</v>
      </c>
      <c r="C186" s="50">
        <v>0.25</v>
      </c>
      <c r="D186" s="50">
        <v>0.1</v>
      </c>
      <c r="E186" s="51">
        <v>1</v>
      </c>
      <c r="F186" s="50">
        <f>SUM(B186*C186*D186*E186)</f>
        <v>1.1375</v>
      </c>
      <c r="G186" s="50">
        <v>0</v>
      </c>
      <c r="H186" s="50">
        <f>SUM(F186:G186)</f>
        <v>1.1375</v>
      </c>
      <c r="I186"/>
      <c r="J186"/>
      <c r="K186" s="52">
        <v>1</v>
      </c>
      <c r="L186" s="33" t="str">
        <f>'Materiálové hodnoty'!B41</f>
        <v>Penové sklo (dosky)</v>
      </c>
      <c r="O186" s="34">
        <f>SUM($I$190*'Materiálové hodnoty'!$E41*'Materiálové hodnoty'!J41*$K186)</f>
        <v>2812.7531249999993</v>
      </c>
      <c r="P186" s="34">
        <f>SUM($I$190*'Materiálové hodnoty'!$E41*'Materiálové hodnoty'!K41*$K186)</f>
        <v>168.94434374999997</v>
      </c>
      <c r="Q186" s="34">
        <f>SUM($I$190*'Materiálové hodnoty'!$E41*'Materiálové hodnoty'!L41*$K186)</f>
        <v>0.4066846875</v>
      </c>
    </row>
    <row r="187" spans="2:17" ht="12.75">
      <c r="B187" s="50">
        <v>45.5</v>
      </c>
      <c r="C187" s="50">
        <v>0.25</v>
      </c>
      <c r="D187" s="50">
        <v>0.05</v>
      </c>
      <c r="E187" s="51">
        <v>1</v>
      </c>
      <c r="F187" s="50">
        <f>SUM(B187*C187*D187*E187)</f>
        <v>0.56875</v>
      </c>
      <c r="G187" s="50">
        <v>0</v>
      </c>
      <c r="H187" s="50">
        <f>SUM(F187:G187)</f>
        <v>0.56875</v>
      </c>
      <c r="K187" s="52">
        <v>0</v>
      </c>
      <c r="L187" s="33" t="str">
        <f>'Materiálové hodnoty'!B42</f>
        <v>Purenit</v>
      </c>
      <c r="O187" s="34">
        <f>SUM($I$190*'Materiálové hodnoty'!$E42*'Materiálové hodnoty'!J42*$K187)</f>
        <v>0</v>
      </c>
      <c r="P187" s="34">
        <f>SUM($I$190*'Materiálové hodnoty'!$E42*'Materiálové hodnoty'!K42*$K187)</f>
        <v>0</v>
      </c>
      <c r="Q187" s="34">
        <f>SUM($I$190*'Materiálové hodnoty'!$E42*'Materiálové hodnoty'!L42*$K187)</f>
        <v>0</v>
      </c>
    </row>
    <row r="188" spans="2:17" ht="12.75">
      <c r="B188" s="50">
        <v>0</v>
      </c>
      <c r="C188" s="50">
        <v>0</v>
      </c>
      <c r="D188" s="50">
        <v>0</v>
      </c>
      <c r="E188" s="51">
        <v>1</v>
      </c>
      <c r="F188" s="50">
        <f>SUM(B188*C188*D188*E188)</f>
        <v>0</v>
      </c>
      <c r="G188" s="50">
        <v>0</v>
      </c>
      <c r="H188" s="50">
        <f>SUM(F188:G188)</f>
        <v>0</v>
      </c>
      <c r="K188" s="52">
        <v>0</v>
      </c>
      <c r="L188" s="33" t="str">
        <f>'Materiálové hodnoty'!B43</f>
        <v>Plynosilikát (Pórobetón)</v>
      </c>
      <c r="O188" s="34">
        <f>SUM($I$190*'Materiálové hodnoty'!$E43*'Materiálové hodnoty'!J43*$K188)</f>
        <v>0</v>
      </c>
      <c r="P188" s="34">
        <f>SUM($I$190*'Materiálové hodnoty'!$E43*'Materiálové hodnoty'!K43*$K188)</f>
        <v>0</v>
      </c>
      <c r="Q188" s="34">
        <f>SUM($I$190*'Materiálové hodnoty'!$E43*'Materiálové hodnoty'!L43*$K188)</f>
        <v>0</v>
      </c>
    </row>
    <row r="189" spans="2:17" ht="12.75">
      <c r="B189" s="50">
        <v>0</v>
      </c>
      <c r="C189" s="50">
        <v>0</v>
      </c>
      <c r="D189" s="50">
        <v>0</v>
      </c>
      <c r="E189" s="51">
        <v>1</v>
      </c>
      <c r="F189" s="50">
        <f>SUM(B189*C189*D189*E189)</f>
        <v>0</v>
      </c>
      <c r="G189" s="50">
        <v>0</v>
      </c>
      <c r="H189" s="50">
        <f>SUM(F189:G189)</f>
        <v>0</v>
      </c>
      <c r="K189" s="52">
        <v>0</v>
      </c>
      <c r="L189" s="33" t="str">
        <f>'Materiálové hodnoty'!B44</f>
        <v>Zakladacie vápennopieskové tehly (Kimmstein)</v>
      </c>
      <c r="O189" s="34">
        <f>SUM($I$190*'Materiálové hodnoty'!$E44*'Materiálové hodnoty'!J44*$K189)</f>
        <v>0</v>
      </c>
      <c r="P189" s="34">
        <f>SUM($I$190*'Materiálové hodnoty'!$E44*'Materiálové hodnoty'!K44*$K189)</f>
        <v>0</v>
      </c>
      <c r="Q189" s="34">
        <f>SUM($I$190*'Materiálové hodnoty'!$E44*'Materiálové hodnoty'!L44*$K189)</f>
        <v>0</v>
      </c>
    </row>
    <row r="190" spans="2:17" ht="12.75">
      <c r="B190" s="50">
        <v>0</v>
      </c>
      <c r="C190" s="50">
        <v>0</v>
      </c>
      <c r="D190" s="50">
        <v>0</v>
      </c>
      <c r="E190" s="51">
        <v>1</v>
      </c>
      <c r="F190" s="50">
        <f>SUM(B190*C190*D190*E190)</f>
        <v>0</v>
      </c>
      <c r="G190" s="50">
        <v>0</v>
      </c>
      <c r="H190" s="50">
        <f>SUM(F190:G190)</f>
        <v>0</v>
      </c>
      <c r="I190" s="31">
        <f>SUM(H182:H190)</f>
        <v>1.7062499999999998</v>
      </c>
      <c r="J190" s="32" t="s">
        <v>31</v>
      </c>
      <c r="K190" s="52">
        <v>0</v>
      </c>
      <c r="L190" s="33" t="str">
        <f>'Materiálové hodnoty'!B45</f>
        <v>PUR dosky</v>
      </c>
      <c r="O190" s="34">
        <f>SUM($I$190*'Materiálové hodnoty'!$E45*'Materiálové hodnoty'!J45*$K190)</f>
        <v>0</v>
      </c>
      <c r="P190" s="34">
        <f>SUM($I$190*'Materiálové hodnoty'!$E45*'Materiálové hodnoty'!K45*$K190)</f>
        <v>0</v>
      </c>
      <c r="Q190" s="34">
        <f>SUM($I$190*'Materiálové hodnoty'!$E45*'Materiálové hodnoty'!L45*$K190)</f>
        <v>0</v>
      </c>
    </row>
    <row r="191" spans="5:17" s="18" customFormat="1" ht="12.75">
      <c r="E191" s="53"/>
      <c r="I191" s="32"/>
      <c r="J191" s="32"/>
      <c r="K191" s="32"/>
      <c r="L191" s="56"/>
      <c r="M191" s="56"/>
      <c r="N191" s="56"/>
      <c r="O191" s="57"/>
      <c r="P191" s="57"/>
      <c r="Q191" s="57"/>
    </row>
    <row r="192" spans="1:17" ht="12.75">
      <c r="A192" s="31" t="s">
        <v>83</v>
      </c>
      <c r="B192" s="47" t="s">
        <v>82</v>
      </c>
      <c r="C192" s="47" t="s">
        <v>61</v>
      </c>
      <c r="D192" s="47" t="s">
        <v>48</v>
      </c>
      <c r="E192" s="30" t="s">
        <v>26</v>
      </c>
      <c r="F192" s="47" t="s">
        <v>27</v>
      </c>
      <c r="G192" s="47" t="s">
        <v>28</v>
      </c>
      <c r="H192" s="47" t="s">
        <v>29</v>
      </c>
      <c r="I192" s="48" t="s">
        <v>30</v>
      </c>
      <c r="J192"/>
      <c r="K192" s="52">
        <v>1</v>
      </c>
      <c r="L192" s="33" t="str">
        <f>'Materiálové hodnoty'!B47</f>
        <v>EPS 20 (podlahový??)</v>
      </c>
      <c r="O192" s="34">
        <f>SUM($I$200*'Materiálové hodnoty'!$E47*'Materiálové hodnoty'!J47*$K192)</f>
        <v>0</v>
      </c>
      <c r="P192" s="34">
        <f>SUM($I$200*'Materiálové hodnoty'!$E47*'Materiálové hodnoty'!K47*$K192)</f>
        <v>0</v>
      </c>
      <c r="Q192" s="34">
        <f>SUM($I$200*'Materiálové hodnoty'!$E47*'Materiálové hodnoty'!L47*$K192)</f>
        <v>0</v>
      </c>
    </row>
    <row r="193" spans="1:17" ht="12.75">
      <c r="A193" s="59"/>
      <c r="E193"/>
      <c r="I193"/>
      <c r="J193"/>
      <c r="K193" s="52">
        <v>0</v>
      </c>
      <c r="L193" s="33" t="str">
        <f>'Materiálové hodnoty'!B48</f>
        <v>EPS 25</v>
      </c>
      <c r="O193" s="34">
        <f>SUM($I$200*'Materiálové hodnoty'!$E48*'Materiálové hodnoty'!J48*$K193)</f>
        <v>0</v>
      </c>
      <c r="P193" s="34">
        <f>SUM($I$211*'Materiálové hodnoty'!$E37*'Materiálové hodnoty'!K37*$K193)</f>
        <v>0</v>
      </c>
      <c r="Q193" s="34">
        <f>SUM($I$211*'Materiálové hodnoty'!$E37*'Materiálové hodnoty'!L37*$K193)</f>
        <v>0</v>
      </c>
    </row>
    <row r="194" spans="1:17" ht="12.75">
      <c r="A194" s="59"/>
      <c r="E194"/>
      <c r="I194"/>
      <c r="J194"/>
      <c r="K194" s="52">
        <v>0</v>
      </c>
      <c r="L194" s="33" t="str">
        <f>'Materiálové hodnoty'!B49</f>
        <v>Polystyrénbetón</v>
      </c>
      <c r="O194" s="34">
        <f>SUM($I$200*'Materiálové hodnoty'!$E49*'Materiálové hodnoty'!J49*$K194)</f>
        <v>0</v>
      </c>
      <c r="P194" s="34">
        <f>SUM($I$211*'Materiálové hodnoty'!$E38*'Materiálové hodnoty'!K38*$K194)</f>
        <v>0</v>
      </c>
      <c r="Q194" s="34">
        <f>SUM($I$211*'Materiálové hodnoty'!$E38*'Materiálové hodnoty'!L38*$K194)</f>
        <v>0</v>
      </c>
    </row>
    <row r="195" spans="1:17" ht="12.75">
      <c r="A195" s="59"/>
      <c r="E195"/>
      <c r="I195"/>
      <c r="J195"/>
      <c r="K195" s="52">
        <v>0</v>
      </c>
      <c r="L195" s="33" t="str">
        <f>'Materiálové hodnoty'!B50</f>
        <v>Perlit expandovaný hydrofobizovaný</v>
      </c>
      <c r="O195" s="34">
        <f>SUM($I$200*'Materiálové hodnoty'!$E50*'Materiálové hodnoty'!J50*$K195)</f>
        <v>0</v>
      </c>
      <c r="P195" s="34">
        <f>SUM($I$211*'Materiálové hodnoty'!$E39*'Materiálové hodnoty'!K39*$K195)</f>
        <v>0</v>
      </c>
      <c r="Q195" s="34">
        <f>SUM($I$211*'Materiálové hodnoty'!$E39*'Materiálové hodnoty'!L39*$K195)</f>
        <v>0</v>
      </c>
    </row>
    <row r="196" spans="1:17" ht="12.75">
      <c r="A196" s="59"/>
      <c r="B196" s="50">
        <v>0</v>
      </c>
      <c r="C196" s="50">
        <v>0</v>
      </c>
      <c r="D196" s="50">
        <v>0</v>
      </c>
      <c r="E196" s="51">
        <v>1</v>
      </c>
      <c r="F196" s="50">
        <f>SUM(B196*C196*D196*E196)</f>
        <v>0</v>
      </c>
      <c r="G196" s="50">
        <v>0</v>
      </c>
      <c r="H196" s="50">
        <f>SUM(F196:G196)</f>
        <v>0</v>
      </c>
      <c r="I196"/>
      <c r="J196"/>
      <c r="K196" s="52">
        <v>0</v>
      </c>
      <c r="L196" s="33" t="str">
        <f>'Materiálové hodnoty'!B51</f>
        <v>Sklená vata pochôdzna</v>
      </c>
      <c r="O196" s="34">
        <f>SUM($I$200*'Materiálové hodnoty'!$E51*'Materiálové hodnoty'!J51*$K196)</f>
        <v>0</v>
      </c>
      <c r="P196" s="34">
        <f>SUM($I$211*'Materiálové hodnoty'!$E40*'Materiálové hodnoty'!K40*$K196)</f>
        <v>0</v>
      </c>
      <c r="Q196" s="34">
        <f>SUM($I$211*'Materiálové hodnoty'!$E40*'Materiálové hodnoty'!L40*$K196)</f>
        <v>0</v>
      </c>
    </row>
    <row r="197" spans="2:17" ht="12.75">
      <c r="B197" s="50">
        <v>0</v>
      </c>
      <c r="C197" s="50">
        <v>0</v>
      </c>
      <c r="D197" s="50">
        <v>0</v>
      </c>
      <c r="E197" s="51">
        <v>1</v>
      </c>
      <c r="F197" s="50">
        <f>SUM(B197*C197*D197*E197)</f>
        <v>0</v>
      </c>
      <c r="G197" s="50">
        <v>0</v>
      </c>
      <c r="H197" s="50">
        <f>SUM(F197:G197)</f>
        <v>0</v>
      </c>
      <c r="K197" s="52">
        <v>0</v>
      </c>
      <c r="L197" s="33" t="str">
        <f>'Materiálové hodnoty'!B52</f>
        <v>Kamenná vata pochôdzna</v>
      </c>
      <c r="O197" s="34">
        <f>SUM($I$200*'Materiálové hodnoty'!$E52*'Materiálové hodnoty'!J52*$K197)</f>
        <v>0</v>
      </c>
      <c r="P197" s="34">
        <f>SUM($I$211*'Materiálové hodnoty'!$E41*'Materiálové hodnoty'!K41*$K197)</f>
        <v>0</v>
      </c>
      <c r="Q197" s="34">
        <f>SUM($I$211*'Materiálové hodnoty'!$E41*'Materiálové hodnoty'!L41*$K197)</f>
        <v>0</v>
      </c>
    </row>
    <row r="198" spans="2:17" ht="12.75">
      <c r="B198" s="50">
        <v>0</v>
      </c>
      <c r="C198" s="50">
        <v>0</v>
      </c>
      <c r="D198" s="50">
        <v>0</v>
      </c>
      <c r="E198" s="51">
        <v>1</v>
      </c>
      <c r="F198" s="50">
        <f>SUM(B198*C198*D198*E198)</f>
        <v>0</v>
      </c>
      <c r="G198" s="50">
        <v>0</v>
      </c>
      <c r="H198" s="50">
        <f>SUM(F198:G198)</f>
        <v>0</v>
      </c>
      <c r="K198" s="52">
        <v>0</v>
      </c>
      <c r="L198" s="33" t="str">
        <f>'Materiálové hodnoty'!B53</f>
        <v>XPS vypeňované HFC</v>
      </c>
      <c r="O198" s="34">
        <f>SUM($I$200*'Materiálové hodnoty'!$E53*'Materiálové hodnoty'!J53*$K198)</f>
        <v>0</v>
      </c>
      <c r="P198" s="34">
        <f>SUM($I$211*'Materiálové hodnoty'!$E42*'Materiálové hodnoty'!K42*$K198)</f>
        <v>0</v>
      </c>
      <c r="Q198" s="34">
        <f>SUM($I$211*'Materiálové hodnoty'!$E42*'Materiálové hodnoty'!L42*$K198)</f>
        <v>0</v>
      </c>
    </row>
    <row r="199" spans="2:17" ht="12.75">
      <c r="B199" s="50">
        <v>0</v>
      </c>
      <c r="C199" s="50">
        <v>0</v>
      </c>
      <c r="D199" s="50">
        <v>0</v>
      </c>
      <c r="E199" s="51">
        <v>1</v>
      </c>
      <c r="F199" s="50">
        <f>SUM(B199*C199*D199*E199)</f>
        <v>0</v>
      </c>
      <c r="G199" s="50">
        <v>0</v>
      </c>
      <c r="H199" s="50">
        <f>SUM(F199:G199)</f>
        <v>0</v>
      </c>
      <c r="K199" s="52">
        <v>0</v>
      </c>
      <c r="L199" s="33" t="str">
        <f>'Materiálové hodnoty'!B54</f>
        <v>XPS vypeňované CO2</v>
      </c>
      <c r="O199" s="34">
        <f>SUM($I$200*'Materiálové hodnoty'!$E54*'Materiálové hodnoty'!J54*$K199)</f>
        <v>0</v>
      </c>
      <c r="P199" s="34">
        <f>SUM($I$211*'Materiálové hodnoty'!$E43*'Materiálové hodnoty'!K43*$K199)</f>
        <v>0</v>
      </c>
      <c r="Q199" s="34">
        <f>SUM($I$211*'Materiálové hodnoty'!$E43*'Materiálové hodnoty'!L43*$K199)</f>
        <v>0</v>
      </c>
    </row>
    <row r="200" spans="2:17" ht="12.75">
      <c r="B200" s="50">
        <v>0</v>
      </c>
      <c r="C200" s="50">
        <v>0</v>
      </c>
      <c r="D200" s="50">
        <v>0</v>
      </c>
      <c r="E200" s="51">
        <v>1</v>
      </c>
      <c r="F200" s="50">
        <f>SUM(B200*C200*D200*E200)</f>
        <v>0</v>
      </c>
      <c r="G200" s="50">
        <v>0</v>
      </c>
      <c r="H200" s="50">
        <f>SUM(F200:G200)</f>
        <v>0</v>
      </c>
      <c r="I200" s="31">
        <f>SUM(H192:H200)</f>
        <v>0</v>
      </c>
      <c r="J200" s="32" t="s">
        <v>31</v>
      </c>
      <c r="K200" s="52">
        <v>0</v>
      </c>
      <c r="L200" s="33" t="str">
        <f>'Materiálové hodnoty'!B55</f>
        <v>Penové sklo (drvené a komprimované 1,3)</v>
      </c>
      <c r="O200" s="34">
        <f>SUM($I$200*'Materiálové hodnoty'!$E55*'Materiálové hodnoty'!J55*$K200)</f>
        <v>0</v>
      </c>
      <c r="P200" s="34">
        <f>SUM($I$211*'Materiálové hodnoty'!$E44*'Materiálové hodnoty'!K44*$K200)</f>
        <v>0</v>
      </c>
      <c r="Q200" s="34">
        <f>SUM($I$211*'Materiálové hodnoty'!$E44*'Materiálové hodnoty'!L44*$K200)</f>
        <v>0</v>
      </c>
    </row>
    <row r="201" spans="5:17" s="18" customFormat="1" ht="12.75">
      <c r="E201" s="53"/>
      <c r="I201" s="32"/>
      <c r="J201" s="32"/>
      <c r="K201" s="32"/>
      <c r="L201" s="56"/>
      <c r="M201" s="56"/>
      <c r="N201" s="56"/>
      <c r="O201" s="57"/>
      <c r="P201" s="57"/>
      <c r="Q201" s="57"/>
    </row>
    <row r="202" spans="1:11" ht="12.75">
      <c r="A202" s="31"/>
      <c r="B202" s="47"/>
      <c r="C202" s="47"/>
      <c r="D202" s="47"/>
      <c r="F202" s="47"/>
      <c r="G202" s="47"/>
      <c r="H202" s="47"/>
      <c r="I202" s="48"/>
      <c r="J202" s="49"/>
      <c r="K202" s="48"/>
    </row>
    <row r="203" spans="1:17" ht="12.75">
      <c r="A203" s="31" t="s">
        <v>67</v>
      </c>
      <c r="B203" s="47" t="s">
        <v>82</v>
      </c>
      <c r="C203" s="47" t="s">
        <v>61</v>
      </c>
      <c r="D203" s="47" t="s">
        <v>48</v>
      </c>
      <c r="E203" s="30" t="s">
        <v>26</v>
      </c>
      <c r="F203" s="47" t="s">
        <v>27</v>
      </c>
      <c r="G203" s="47" t="s">
        <v>28</v>
      </c>
      <c r="H203" s="47" t="s">
        <v>29</v>
      </c>
      <c r="I203" s="48" t="s">
        <v>30</v>
      </c>
      <c r="J203"/>
      <c r="K203" s="52">
        <v>0</v>
      </c>
      <c r="L203" s="33" t="str">
        <f>'Materiálové hodnoty'!B47</f>
        <v>EPS 20 (podlahový??)</v>
      </c>
      <c r="O203" s="34">
        <f>SUM($I$211*'Materiálové hodnoty'!$E47*'Materiálové hodnoty'!J47*$K203)</f>
        <v>0</v>
      </c>
      <c r="P203" s="34">
        <f>SUM($I$211*'Materiálové hodnoty'!$E47*'Materiálové hodnoty'!K47*$K203)</f>
        <v>0</v>
      </c>
      <c r="Q203" s="34">
        <f>SUM($I$211*'Materiálové hodnoty'!$E47*'Materiálové hodnoty'!L47*$K203)</f>
        <v>0</v>
      </c>
    </row>
    <row r="204" spans="1:17" ht="12.75">
      <c r="A204" s="59"/>
      <c r="E204"/>
      <c r="I204"/>
      <c r="J204"/>
      <c r="K204" s="52">
        <v>0</v>
      </c>
      <c r="L204" s="33" t="str">
        <f>'Materiálové hodnoty'!B48</f>
        <v>EPS 25</v>
      </c>
      <c r="O204" s="34">
        <f>SUM($I$211*'Materiálové hodnoty'!$E48*'Materiálové hodnoty'!J48*$K204)</f>
        <v>0</v>
      </c>
      <c r="P204" s="34">
        <f>SUM($I$211*'Materiálové hodnoty'!$E48*'Materiálové hodnoty'!K48*$K204)</f>
        <v>0</v>
      </c>
      <c r="Q204" s="34">
        <f>SUM($I$211*'Materiálové hodnoty'!$E48*'Materiálové hodnoty'!L48*$K204)</f>
        <v>0</v>
      </c>
    </row>
    <row r="205" spans="1:17" ht="12.75">
      <c r="A205" s="59"/>
      <c r="E205"/>
      <c r="I205"/>
      <c r="J205"/>
      <c r="K205" s="52">
        <v>0</v>
      </c>
      <c r="L205" s="33" t="str">
        <f>'Materiálové hodnoty'!B49</f>
        <v>Polystyrénbetón</v>
      </c>
      <c r="O205" s="34">
        <f>SUM($I$211*'Materiálové hodnoty'!$E49*'Materiálové hodnoty'!J49*$K205)</f>
        <v>0</v>
      </c>
      <c r="P205" s="34">
        <f>SUM($I$211*'Materiálové hodnoty'!$E49*'Materiálové hodnoty'!K49*$K205)</f>
        <v>0</v>
      </c>
      <c r="Q205" s="34">
        <f>SUM($I$211*'Materiálové hodnoty'!$E49*'Materiálové hodnoty'!L49*$K205)</f>
        <v>0</v>
      </c>
    </row>
    <row r="206" spans="1:17" ht="12.75">
      <c r="A206" s="59"/>
      <c r="E206"/>
      <c r="I206"/>
      <c r="J206"/>
      <c r="K206" s="52">
        <v>0</v>
      </c>
      <c r="L206" s="33" t="str">
        <f>'Materiálové hodnoty'!B50</f>
        <v>Perlit expandovaný hydrofobizovaný</v>
      </c>
      <c r="O206" s="34">
        <f>SUM($I$211*'Materiálové hodnoty'!$E50*'Materiálové hodnoty'!J50*$K206)</f>
        <v>0</v>
      </c>
      <c r="P206" s="34">
        <f>SUM($I$211*'Materiálové hodnoty'!$E50*'Materiálové hodnoty'!K50*$K206)</f>
        <v>0</v>
      </c>
      <c r="Q206" s="34">
        <f>SUM($I$211*'Materiálové hodnoty'!$E50*'Materiálové hodnoty'!L50*$K206)</f>
        <v>0</v>
      </c>
    </row>
    <row r="207" spans="1:17" ht="12.75">
      <c r="A207" s="59"/>
      <c r="B207" s="50">
        <v>92</v>
      </c>
      <c r="C207" s="50">
        <v>1</v>
      </c>
      <c r="D207" s="50">
        <v>0.4</v>
      </c>
      <c r="E207" s="51">
        <v>1</v>
      </c>
      <c r="F207" s="50">
        <f>SUM(B207*C207*D207*E207)</f>
        <v>36.800000000000004</v>
      </c>
      <c r="G207" s="50">
        <v>0</v>
      </c>
      <c r="H207" s="50">
        <f>SUM(F207:G207)</f>
        <v>36.800000000000004</v>
      </c>
      <c r="I207"/>
      <c r="J207"/>
      <c r="K207" s="52">
        <v>0</v>
      </c>
      <c r="L207" s="33" t="str">
        <f>'Materiálové hodnoty'!B51</f>
        <v>Sklená vata pochôdzna</v>
      </c>
      <c r="O207" s="34">
        <f>SUM($I$211*'Materiálové hodnoty'!$E51*'Materiálové hodnoty'!J51*$K207)</f>
        <v>0</v>
      </c>
      <c r="P207" s="34">
        <f>SUM($I$211*'Materiálové hodnoty'!$E51*'Materiálové hodnoty'!K51*$K207)</f>
        <v>0</v>
      </c>
      <c r="Q207" s="34">
        <f>SUM($I$211*'Materiálové hodnoty'!$E51*'Materiálové hodnoty'!L51*$K207)</f>
        <v>0</v>
      </c>
    </row>
    <row r="208" spans="2:17" ht="12.75">
      <c r="B208" s="50">
        <v>45.5</v>
      </c>
      <c r="C208" s="50">
        <v>0.2</v>
      </c>
      <c r="D208" s="50">
        <v>0.2</v>
      </c>
      <c r="E208" s="51">
        <v>1</v>
      </c>
      <c r="F208" s="50">
        <f>SUM(B208*C208*D208*E208)</f>
        <v>1.82</v>
      </c>
      <c r="G208" s="50">
        <v>0</v>
      </c>
      <c r="H208" s="50">
        <f>SUM(F208:G208)</f>
        <v>1.82</v>
      </c>
      <c r="K208" s="52">
        <v>0</v>
      </c>
      <c r="L208" s="33" t="str">
        <f>'Materiálové hodnoty'!B52</f>
        <v>Kamenná vata pochôdzna</v>
      </c>
      <c r="O208" s="34">
        <f>SUM($I$211*'Materiálové hodnoty'!$E52*'Materiálové hodnoty'!J52*$K208)</f>
        <v>0</v>
      </c>
      <c r="P208" s="34">
        <f>SUM($I$211*'Materiálové hodnoty'!$E52*'Materiálové hodnoty'!K52*$K208)</f>
        <v>0</v>
      </c>
      <c r="Q208" s="34">
        <f>SUM($I$211*'Materiálové hodnoty'!$E52*'Materiálové hodnoty'!L52*$K208)</f>
        <v>0</v>
      </c>
    </row>
    <row r="209" spans="2:17" ht="12.75">
      <c r="B209" s="50">
        <v>0</v>
      </c>
      <c r="C209" s="50">
        <v>0</v>
      </c>
      <c r="D209" s="50">
        <v>0</v>
      </c>
      <c r="E209" s="51">
        <v>1</v>
      </c>
      <c r="F209" s="50">
        <f>SUM(B209*C209*D209*E209)</f>
        <v>0</v>
      </c>
      <c r="G209" s="50">
        <v>0</v>
      </c>
      <c r="H209" s="50">
        <f>SUM(F209:G209)</f>
        <v>0</v>
      </c>
      <c r="K209" s="52">
        <v>0</v>
      </c>
      <c r="L209" s="33" t="str">
        <f>'Materiálové hodnoty'!B53</f>
        <v>XPS vypeňované HFC</v>
      </c>
      <c r="O209" s="34">
        <f>SUM($I$211*'Materiálové hodnoty'!$E53*'Materiálové hodnoty'!J53*$K209)</f>
        <v>0</v>
      </c>
      <c r="P209" s="34">
        <f>SUM($I$211*'Materiálové hodnoty'!$E53*'Materiálové hodnoty'!K53*$K209)</f>
        <v>0</v>
      </c>
      <c r="Q209" s="34">
        <f>SUM($I$211*'Materiálové hodnoty'!$E53*'Materiálové hodnoty'!L53*$K209)</f>
        <v>0</v>
      </c>
    </row>
    <row r="210" spans="2:17" ht="12.75">
      <c r="B210" s="50">
        <v>0</v>
      </c>
      <c r="C210" s="50">
        <v>0</v>
      </c>
      <c r="D210" s="50">
        <v>0</v>
      </c>
      <c r="E210" s="51">
        <v>1</v>
      </c>
      <c r="F210" s="50">
        <f>SUM(B210*C210*D210*E210)</f>
        <v>0</v>
      </c>
      <c r="G210" s="50">
        <v>0</v>
      </c>
      <c r="H210" s="50">
        <f>SUM(F210:G210)</f>
        <v>0</v>
      </c>
      <c r="K210" s="52">
        <v>1</v>
      </c>
      <c r="L210" s="33" t="str">
        <f>'Materiálové hodnoty'!B54</f>
        <v>XPS vypeňované CO2</v>
      </c>
      <c r="O210" s="34">
        <f>SUM($I$211*'Materiálové hodnoty'!$E54*'Materiálové hodnoty'!J54*$K210)</f>
        <v>149691.12000000002</v>
      </c>
      <c r="P210" s="34">
        <f>SUM($I$211*'Materiálové hodnoty'!$E54*'Materiálové hodnoty'!K54*$K210)</f>
        <v>5048.406400000001</v>
      </c>
      <c r="Q210" s="34">
        <f>SUM($I$211*'Materiálové hodnoty'!$E54*'Materiálové hodnoty'!L54*$K210)</f>
        <v>30.965516000000004</v>
      </c>
    </row>
    <row r="211" spans="2:17" ht="12.75">
      <c r="B211" s="50">
        <v>0</v>
      </c>
      <c r="C211" s="50">
        <v>0</v>
      </c>
      <c r="D211" s="50">
        <v>0</v>
      </c>
      <c r="E211" s="51">
        <v>1</v>
      </c>
      <c r="F211" s="50">
        <f>SUM(B211*C211*D211*E211)</f>
        <v>0</v>
      </c>
      <c r="G211" s="50">
        <v>0</v>
      </c>
      <c r="H211" s="50">
        <f>SUM(F211:G211)</f>
        <v>0</v>
      </c>
      <c r="I211" s="31">
        <f>SUM(H203:H211)</f>
        <v>38.620000000000005</v>
      </c>
      <c r="J211" s="32" t="s">
        <v>31</v>
      </c>
      <c r="K211" s="52">
        <v>0</v>
      </c>
      <c r="L211" s="33" t="str">
        <f>'Materiálové hodnoty'!B55</f>
        <v>Penové sklo (drvené a komprimované 1,3)</v>
      </c>
      <c r="O211" s="34">
        <f>SUM($I$211*'Materiálové hodnoty'!$E55*'Materiálové hodnoty'!J55*$K211)</f>
        <v>0</v>
      </c>
      <c r="P211" s="34">
        <f>SUM($I$211*'Materiálové hodnoty'!$E55*'Materiálové hodnoty'!K55*$K211)</f>
        <v>0</v>
      </c>
      <c r="Q211" s="34">
        <f>SUM($I$211*'Materiálové hodnoty'!$E55*'Materiálové hodnoty'!L55*$K211)</f>
        <v>0</v>
      </c>
    </row>
    <row r="212" spans="2:18" ht="12.75">
      <c r="B212" s="18"/>
      <c r="C212" s="18"/>
      <c r="D212" s="18"/>
      <c r="E212" s="53"/>
      <c r="F212" s="18"/>
      <c r="G212" s="18"/>
      <c r="H212" s="18"/>
      <c r="I212" s="32"/>
      <c r="K212" s="32"/>
      <c r="L212" s="56"/>
      <c r="M212" s="56"/>
      <c r="N212" s="56"/>
      <c r="O212" s="57"/>
      <c r="P212" s="57"/>
      <c r="Q212" s="57"/>
      <c r="R212" s="18"/>
    </row>
    <row r="213" spans="1:18" ht="12.75">
      <c r="A213" s="31" t="s">
        <v>84</v>
      </c>
      <c r="B213" s="47" t="s">
        <v>82</v>
      </c>
      <c r="C213" s="47" t="s">
        <v>61</v>
      </c>
      <c r="D213" s="47" t="s">
        <v>48</v>
      </c>
      <c r="E213" s="30" t="s">
        <v>26</v>
      </c>
      <c r="F213" s="47" t="s">
        <v>27</v>
      </c>
      <c r="G213" s="47" t="s">
        <v>28</v>
      </c>
      <c r="H213" s="47" t="s">
        <v>29</v>
      </c>
      <c r="I213" s="48" t="s">
        <v>30</v>
      </c>
      <c r="J213" s="49"/>
      <c r="K213" s="52">
        <v>1</v>
      </c>
      <c r="L213" s="33" t="str">
        <f>'Materiálové hodnoty'!B57</f>
        <v>EPS fasádny</v>
      </c>
      <c r="O213" s="34">
        <f>SUM($I$219*'Materiálové hodnoty'!$E57*'Materiálové hodnoty'!J57*$K213)</f>
        <v>165283.31519999998</v>
      </c>
      <c r="P213" s="34">
        <f>SUM($I$219*'Materiálové hodnoty'!$E57*'Materiálové hodnoty'!K57*$K213)</f>
        <v>5621.3107199999995</v>
      </c>
      <c r="Q213" s="34">
        <f>SUM($I$219*'Materiálové hodnoty'!$E57*'Materiálové hodnoty'!L57*$K213)</f>
        <v>36.24486912</v>
      </c>
      <c r="R213" s="18"/>
    </row>
    <row r="214" spans="1:18" ht="12.75">
      <c r="A214" s="59"/>
      <c r="E214"/>
      <c r="I214"/>
      <c r="J214"/>
      <c r="K214" s="52">
        <v>0</v>
      </c>
      <c r="L214" s="33" t="str">
        <f>'Materiálové hodnoty'!B58</f>
        <v>EPS s grafitom</v>
      </c>
      <c r="O214" s="34">
        <f>SUM($I$219*'Materiálové hodnoty'!$E58*'Materiálové hodnoty'!J58*$K214)</f>
        <v>0</v>
      </c>
      <c r="P214" s="34">
        <f>SUM($I$219*'Materiálové hodnoty'!$E58*'Materiálové hodnoty'!K58*$K214)</f>
        <v>0</v>
      </c>
      <c r="Q214" s="34">
        <f>SUM($I$219*'Materiálové hodnoty'!$E58*'Materiálové hodnoty'!L58*$K214)</f>
        <v>0</v>
      </c>
      <c r="R214" s="18"/>
    </row>
    <row r="215" spans="1:18" ht="12.75">
      <c r="A215" s="59"/>
      <c r="B215" s="50">
        <v>36</v>
      </c>
      <c r="C215" s="50">
        <v>1</v>
      </c>
      <c r="D215" s="50">
        <v>0.32</v>
      </c>
      <c r="E215" s="51">
        <v>1</v>
      </c>
      <c r="F215" s="50">
        <f>SUM(B215*C215*D215*E215)</f>
        <v>11.52</v>
      </c>
      <c r="G215" s="50">
        <v>0</v>
      </c>
      <c r="H215" s="50">
        <f>SUM(F215:G215)</f>
        <v>11.52</v>
      </c>
      <c r="I215"/>
      <c r="J215"/>
      <c r="K215" s="52">
        <v>0</v>
      </c>
      <c r="L215" s="33" t="str">
        <f>'Materiálové hodnoty'!B59</f>
        <v>Sklená vata fasádna</v>
      </c>
      <c r="O215" s="34">
        <f>SUM($I$219*'Materiálové hodnoty'!$E59*'Materiálové hodnoty'!J59*$K215)</f>
        <v>0</v>
      </c>
      <c r="P215" s="34">
        <f>SUM($I$219*'Materiálové hodnoty'!$E59*'Materiálové hodnoty'!K59*$K215)</f>
        <v>0</v>
      </c>
      <c r="Q215" s="34">
        <f>SUM($I$219*'Materiálové hodnoty'!$E59*'Materiálové hodnoty'!L59*$K215)</f>
        <v>0</v>
      </c>
      <c r="R215" s="18"/>
    </row>
    <row r="216" spans="1:18" ht="12.75">
      <c r="A216" s="59"/>
      <c r="B216" s="50">
        <v>241.67</v>
      </c>
      <c r="C216" s="50">
        <v>1</v>
      </c>
      <c r="D216" s="50">
        <v>0.32</v>
      </c>
      <c r="E216" s="51">
        <v>1</v>
      </c>
      <c r="F216" s="50">
        <f>SUM(B216*C216*D216*E216)</f>
        <v>77.3344</v>
      </c>
      <c r="G216" s="50">
        <v>0</v>
      </c>
      <c r="H216" s="50">
        <f>SUM(F216:G216)</f>
        <v>77.3344</v>
      </c>
      <c r="K216" s="52">
        <v>0</v>
      </c>
      <c r="L216" s="33" t="str">
        <f>'Materiálové hodnoty'!B60</f>
        <v>Kamenná vlna fasádna</v>
      </c>
      <c r="O216" s="34">
        <f>SUM($I$219*'Materiálové hodnoty'!$E60*'Materiálové hodnoty'!J60*$K216)</f>
        <v>0</v>
      </c>
      <c r="P216" s="34">
        <f>SUM($I$219*'Materiálové hodnoty'!$E60*'Materiálové hodnoty'!K60*$K216)</f>
        <v>0</v>
      </c>
      <c r="Q216" s="34">
        <f>SUM($I$219*'Materiálové hodnoty'!$E60*'Materiálové hodnoty'!L60*$K216)</f>
        <v>0</v>
      </c>
      <c r="R216" s="18"/>
    </row>
    <row r="217" spans="1:18" ht="12.75">
      <c r="A217" s="59"/>
      <c r="B217" s="50">
        <v>45.5</v>
      </c>
      <c r="C217" s="50">
        <v>0.30000000000000004</v>
      </c>
      <c r="D217" s="50">
        <v>0.32</v>
      </c>
      <c r="E217" s="51">
        <v>1</v>
      </c>
      <c r="F217" s="50">
        <f>SUM(B217*C217*D217*E217)</f>
        <v>4.368000000000001</v>
      </c>
      <c r="G217" s="50">
        <v>0</v>
      </c>
      <c r="H217" s="50">
        <f>SUM(F217:G217)</f>
        <v>4.368000000000001</v>
      </c>
      <c r="K217" s="52">
        <v>0</v>
      </c>
      <c r="L217" s="33" t="str">
        <f>'Materiálové hodnoty'!B61</f>
        <v>Minerálna pena</v>
      </c>
      <c r="O217" s="34">
        <f>SUM($I$219*'Materiálové hodnoty'!$E61*'Materiálové hodnoty'!J61*$K217)</f>
        <v>0</v>
      </c>
      <c r="P217" s="34">
        <f>SUM($I$219*'Materiálové hodnoty'!$E61*'Materiálové hodnoty'!K61*$K217)</f>
        <v>0</v>
      </c>
      <c r="Q217" s="34">
        <f>SUM($I$219*'Materiálové hodnoty'!$E61*'Materiálové hodnoty'!L61*$K217)</f>
        <v>0</v>
      </c>
      <c r="R217" s="18"/>
    </row>
    <row r="218" spans="1:18" ht="12.75">
      <c r="A218" s="59"/>
      <c r="B218" s="50">
        <v>0</v>
      </c>
      <c r="C218" s="50">
        <v>0</v>
      </c>
      <c r="D218" s="50">
        <v>0</v>
      </c>
      <c r="E218" s="51">
        <v>1</v>
      </c>
      <c r="F218" s="50">
        <f>SUM(B218*C218*D218*E218)</f>
        <v>0</v>
      </c>
      <c r="G218" s="50">
        <v>0</v>
      </c>
      <c r="H218" s="50">
        <f>SUM(F218:G218)</f>
        <v>0</v>
      </c>
      <c r="K218" s="52">
        <v>0</v>
      </c>
      <c r="L218" s="33" t="str">
        <f>'Materiálové hodnoty'!B62</f>
        <v>Vákuová izolácia</v>
      </c>
      <c r="O218" s="34">
        <f>SUM($I$219*'Materiálové hodnoty'!$E62*'Materiálové hodnoty'!J62*$K218)</f>
        <v>0</v>
      </c>
      <c r="P218" s="34">
        <f>SUM($I$219*'Materiálové hodnoty'!$E62*'Materiálové hodnoty'!K62*$K218)</f>
        <v>0</v>
      </c>
      <c r="Q218" s="34">
        <f>SUM($I$219*'Materiálové hodnoty'!$E62*'Materiálové hodnoty'!L62*$K218)</f>
        <v>0</v>
      </c>
      <c r="R218" s="18"/>
    </row>
    <row r="219" spans="2:18" ht="12.75">
      <c r="B219" s="50">
        <v>0</v>
      </c>
      <c r="C219" s="50">
        <v>0</v>
      </c>
      <c r="D219" s="50">
        <v>0</v>
      </c>
      <c r="E219" s="51">
        <v>1</v>
      </c>
      <c r="F219" s="50">
        <f>SUM(B219*C219*D219*E219)</f>
        <v>0</v>
      </c>
      <c r="G219" s="50">
        <v>0</v>
      </c>
      <c r="H219" s="50">
        <f>SUM(F219:G219)</f>
        <v>0</v>
      </c>
      <c r="I219" s="31">
        <f>SUM(H214:H222)</f>
        <v>93.2224</v>
      </c>
      <c r="J219" s="32" t="s">
        <v>31</v>
      </c>
      <c r="K219" s="52">
        <v>0</v>
      </c>
      <c r="L219" s="33" t="str">
        <f>'Materiálové hodnoty'!B63</f>
        <v>Korok</v>
      </c>
      <c r="O219" s="34">
        <f>SUM($I$219*'Materiálové hodnoty'!$E63*'Materiálové hodnoty'!J63*$K219)</f>
        <v>0</v>
      </c>
      <c r="P219" s="34">
        <f>SUM($I$219*'Materiálové hodnoty'!$E63*'Materiálové hodnoty'!K63*$K219)</f>
        <v>0</v>
      </c>
      <c r="Q219" s="34">
        <f>SUM($I$219*'Materiálové hodnoty'!$E63*'Materiálové hodnoty'!L63*$K219)</f>
        <v>0</v>
      </c>
      <c r="R219" s="18"/>
    </row>
    <row r="220" spans="5:18" ht="12.75" hidden="1">
      <c r="E220"/>
      <c r="I220"/>
      <c r="J220"/>
      <c r="K220" s="52">
        <v>0</v>
      </c>
      <c r="L220" s="33" t="str">
        <f>'Materiálové hodnoty'!B64</f>
        <v>Izolácia dutín</v>
      </c>
      <c r="O220" s="34">
        <f>SUM($I$101*'Materiálové hodnoty'!$E101*'Materiálové hodnoty'!J101*$K220)</f>
        <v>0</v>
      </c>
      <c r="P220" s="34">
        <f>SUM($I$101*'Materiálové hodnoty'!$E101*'Materiálové hodnoty'!K101*$K220)</f>
        <v>0</v>
      </c>
      <c r="Q220" s="34">
        <f>SUM($I$101*'Materiálové hodnoty'!$E101*'Materiálové hodnoty'!L101*$K220)</f>
        <v>0</v>
      </c>
      <c r="R220" s="18"/>
    </row>
    <row r="221" spans="5:17" ht="12.75" hidden="1">
      <c r="E221"/>
      <c r="I221"/>
      <c r="J221"/>
      <c r="K221" s="52">
        <v>0</v>
      </c>
      <c r="L221" s="33" t="str">
        <f>'Materiálové hodnoty'!B65</f>
        <v>Sklená vata</v>
      </c>
      <c r="O221" s="34">
        <f>SUM($I$101*'Materiálové hodnoty'!$E102*'Materiálové hodnoty'!J102*$K221)</f>
        <v>0</v>
      </c>
      <c r="P221" s="34">
        <f>SUM($I$101*'Materiálové hodnoty'!$E102*'Materiálové hodnoty'!K102*$K221)</f>
        <v>0</v>
      </c>
      <c r="Q221" s="34">
        <f>SUM($I$101*'Materiálové hodnoty'!$E102*'Materiálové hodnoty'!L102*$K221)</f>
        <v>0</v>
      </c>
    </row>
    <row r="222" spans="5:10" ht="12.75">
      <c r="E222"/>
      <c r="I222"/>
      <c r="J222"/>
    </row>
    <row r="223" spans="1:17" ht="12.75">
      <c r="A223" s="31" t="s">
        <v>85</v>
      </c>
      <c r="B223" s="47" t="s">
        <v>82</v>
      </c>
      <c r="C223" s="47" t="s">
        <v>61</v>
      </c>
      <c r="D223" s="47" t="s">
        <v>48</v>
      </c>
      <c r="E223" s="30" t="s">
        <v>26</v>
      </c>
      <c r="F223" s="47" t="s">
        <v>27</v>
      </c>
      <c r="G223" s="47" t="s">
        <v>28</v>
      </c>
      <c r="H223" s="47" t="s">
        <v>29</v>
      </c>
      <c r="I223" s="48" t="s">
        <v>30</v>
      </c>
      <c r="J223"/>
      <c r="K223" s="52">
        <v>0</v>
      </c>
      <c r="L223" s="33" t="str">
        <f>'Materiálové hodnoty'!B65</f>
        <v>Sklená vata</v>
      </c>
      <c r="O223" s="34">
        <f>SUM($I$234*'Materiálové hodnoty'!$E65*'Materiálové hodnoty'!J65*$K223)</f>
        <v>0</v>
      </c>
      <c r="P223" s="34">
        <f>SUM($I$234*'Materiálové hodnoty'!$E65*'Materiálové hodnoty'!K65*$K223)</f>
        <v>0</v>
      </c>
      <c r="Q223" s="34">
        <f>SUM($I$234*'Materiálové hodnoty'!$E65*'Materiálové hodnoty'!L65*$K223)</f>
        <v>0</v>
      </c>
    </row>
    <row r="224" spans="5:17" ht="12.75">
      <c r="E224"/>
      <c r="I224"/>
      <c r="J224"/>
      <c r="K224" s="52">
        <v>0</v>
      </c>
      <c r="L224" s="33" t="str">
        <f>'Materiálové hodnoty'!B66</f>
        <v>Minerálna vlna</v>
      </c>
      <c r="O224" s="34">
        <f>SUM($I$234*'Materiálové hodnoty'!$E66*'Materiálové hodnoty'!J66*$K224)</f>
        <v>0</v>
      </c>
      <c r="P224" s="34">
        <f>SUM($I$234*'Materiálové hodnoty'!$E66*'Materiálové hodnoty'!K66*$K224)</f>
        <v>0</v>
      </c>
      <c r="Q224" s="34">
        <f>SUM($I$234*'Materiálové hodnoty'!$E66*'Materiálové hodnoty'!L66*$K224)</f>
        <v>0</v>
      </c>
    </row>
    <row r="225" spans="5:17" ht="12.75">
      <c r="E225"/>
      <c r="I225"/>
      <c r="K225" s="52">
        <v>0</v>
      </c>
      <c r="L225" s="33" t="str">
        <f>'Materiálové hodnoty'!B67</f>
        <v>Minerálna vlna fúkaná</v>
      </c>
      <c r="O225" s="34">
        <f>SUM($I$234*'Materiálové hodnoty'!$E67*'Materiálové hodnoty'!J67*$K225)</f>
        <v>0</v>
      </c>
      <c r="P225" s="34">
        <f>SUM($I$234*'Materiálové hodnoty'!$E67*'Materiálové hodnoty'!K67*$K225)</f>
        <v>0</v>
      </c>
      <c r="Q225" s="34">
        <f>SUM($I$234*'Materiálové hodnoty'!$E67*'Materiálové hodnoty'!L67*$K225)</f>
        <v>0</v>
      </c>
    </row>
    <row r="226" spans="11:17" ht="12.75">
      <c r="K226" s="52">
        <v>0</v>
      </c>
      <c r="L226" s="33" t="str">
        <f>'Materiálové hodnoty'!B68</f>
        <v>Perlit expandovaný sypaný</v>
      </c>
      <c r="O226" s="34">
        <f>SUM($I$234*'Materiálové hodnoty'!$E68*'Materiálové hodnoty'!J68*$K226)</f>
        <v>0</v>
      </c>
      <c r="P226" s="34">
        <f>SUM($I$234*'Materiálové hodnoty'!$E68*'Materiálové hodnoty'!K68*$K226)</f>
        <v>0</v>
      </c>
      <c r="Q226" s="34">
        <f>SUM($I$234*'Materiálové hodnoty'!$E68*'Materiálové hodnoty'!L68*$K226)</f>
        <v>0</v>
      </c>
    </row>
    <row r="227" spans="11:17" ht="12.75">
      <c r="K227" s="52">
        <v>0</v>
      </c>
      <c r="L227" s="33" t="str">
        <f>'Materiálové hodnoty'!B70</f>
        <v>Celulóza (voľná)</v>
      </c>
      <c r="O227" s="34">
        <f>SUM($I$234*'Materiálové hodnoty'!$E70*'Materiálové hodnoty'!J70*$K227)</f>
        <v>0</v>
      </c>
      <c r="P227" s="34">
        <f>SUM($I$234*'Materiálové hodnoty'!$E70*'Materiálové hodnoty'!K70*$K227)</f>
        <v>0</v>
      </c>
      <c r="Q227" s="34">
        <f>SUM($I$234*'Materiálové hodnoty'!$E70*'Materiálové hodnoty'!L70*$K227)</f>
        <v>0</v>
      </c>
    </row>
    <row r="228" spans="5:17" ht="12.75">
      <c r="E228"/>
      <c r="I228"/>
      <c r="J228" s="49"/>
      <c r="K228" s="52">
        <v>0</v>
      </c>
      <c r="L228" s="33" t="str">
        <f>'Materiálové hodnoty'!B71</f>
        <v>Celulóza (Strecha – sklon do 30°)</v>
      </c>
      <c r="O228" s="34">
        <f>SUM($I$234*'Materiálové hodnoty'!$E71*'Materiálové hodnoty'!J71*$K228)</f>
        <v>0</v>
      </c>
      <c r="P228" s="34">
        <f>SUM($I$234*'Materiálové hodnoty'!$E71*'Materiálové hodnoty'!K71*$K228)</f>
        <v>0</v>
      </c>
      <c r="Q228" s="34">
        <f>SUM($I$234*'Materiálové hodnoty'!$E71*'Materiálové hodnoty'!L71*$K228)</f>
        <v>0</v>
      </c>
    </row>
    <row r="229" spans="1:17" ht="12.75">
      <c r="A229" s="59"/>
      <c r="E229"/>
      <c r="I229"/>
      <c r="J229"/>
      <c r="K229" s="52">
        <v>0</v>
      </c>
      <c r="L229" s="33" t="str">
        <f>'Materiálové hodnoty'!B72</f>
        <v>Celulóza (Steny – sklon od 30°)</v>
      </c>
      <c r="O229" s="34">
        <f>SUM($I$234*'Materiálové hodnoty'!$E72*'Materiálové hodnoty'!J72*$K229)</f>
        <v>0</v>
      </c>
      <c r="P229" s="34">
        <f>SUM($I$234*'Materiálové hodnoty'!$E72*'Materiálové hodnoty'!K72*$K229)</f>
        <v>0</v>
      </c>
      <c r="Q229" s="34">
        <f>SUM($I$234*'Materiálové hodnoty'!$E72*'Materiálové hodnoty'!L72*$K229)</f>
        <v>0</v>
      </c>
    </row>
    <row r="230" spans="1:17" ht="12.75">
      <c r="A230" s="59"/>
      <c r="B230" s="50">
        <v>0</v>
      </c>
      <c r="C230" s="50">
        <v>0</v>
      </c>
      <c r="D230" s="50">
        <v>0</v>
      </c>
      <c r="E230" s="51">
        <v>1</v>
      </c>
      <c r="F230" s="50">
        <f>SUM(B230*C230*D230*E230)</f>
        <v>0</v>
      </c>
      <c r="G230" s="50">
        <v>0</v>
      </c>
      <c r="H230" s="50">
        <f>SUM(F230:G230)</f>
        <v>0</v>
      </c>
      <c r="I230"/>
      <c r="J230"/>
      <c r="K230" s="52">
        <v>0</v>
      </c>
      <c r="L230" s="33" t="str">
        <f>'Materiálové hodnoty'!B73</f>
        <v>Konopné rohože s PE vláknami</v>
      </c>
      <c r="O230" s="34">
        <f>SUM($I$234*'Materiálové hodnoty'!$E73*'Materiálové hodnoty'!J73*$K230)</f>
        <v>0</v>
      </c>
      <c r="P230" s="34">
        <f>SUM($I$234*'Materiálové hodnoty'!$E73*'Materiálové hodnoty'!K73*$K230)</f>
        <v>0</v>
      </c>
      <c r="Q230" s="34">
        <f>SUM($I$234*'Materiálové hodnoty'!$E73*'Materiálové hodnoty'!L73*$K230)</f>
        <v>0</v>
      </c>
    </row>
    <row r="231" spans="1:17" ht="12.75">
      <c r="A231" s="59"/>
      <c r="B231" s="50">
        <v>0</v>
      </c>
      <c r="C231" s="50">
        <v>0</v>
      </c>
      <c r="D231" s="50">
        <v>0</v>
      </c>
      <c r="E231" s="51">
        <v>1</v>
      </c>
      <c r="F231" s="50">
        <f>SUM(B231*C231*D231*E231)</f>
        <v>0</v>
      </c>
      <c r="G231" s="50">
        <v>0</v>
      </c>
      <c r="H231" s="50">
        <f>SUM(F231:G231)</f>
        <v>0</v>
      </c>
      <c r="K231" s="52">
        <v>0</v>
      </c>
      <c r="L231" s="33" t="str">
        <f>'Materiálové hodnoty'!B74</f>
        <v>Konopné rohože bez PE vlákien</v>
      </c>
      <c r="O231" s="34">
        <f>SUM($I$234*'Materiálové hodnoty'!$E74*'Materiálové hodnoty'!J74*$K231)</f>
        <v>0</v>
      </c>
      <c r="P231" s="34">
        <f>SUM($I$234*'Materiálové hodnoty'!$E74*'Materiálové hodnoty'!K74*$K231)</f>
        <v>0</v>
      </c>
      <c r="Q231" s="34">
        <f>SUM($I$234*'Materiálové hodnoty'!$E74*'Materiálové hodnoty'!L74*$K231)</f>
        <v>0</v>
      </c>
    </row>
    <row r="232" spans="1:17" ht="12.75">
      <c r="A232" s="59"/>
      <c r="B232" s="50">
        <v>0</v>
      </c>
      <c r="C232" s="50">
        <v>0</v>
      </c>
      <c r="D232" s="50">
        <v>0</v>
      </c>
      <c r="E232" s="51">
        <v>1</v>
      </c>
      <c r="F232" s="50">
        <f>SUM(B232*C232*D232*E232)</f>
        <v>0</v>
      </c>
      <c r="G232" s="50">
        <v>0</v>
      </c>
      <c r="H232" s="50">
        <f>SUM(F232:G232)</f>
        <v>0</v>
      </c>
      <c r="K232" s="52">
        <v>0</v>
      </c>
      <c r="L232" s="33" t="str">
        <f>'Materiálové hodnoty'!B75</f>
        <v>Ľanové rohože s PE vláknami</v>
      </c>
      <c r="O232" s="34">
        <f>SUM($I$234*'Materiálové hodnoty'!$E75*'Materiálové hodnoty'!J75*$K232)</f>
        <v>0</v>
      </c>
      <c r="P232" s="34">
        <f>SUM($I$234*'Materiálové hodnoty'!$E75*'Materiálové hodnoty'!K75*$K232)</f>
        <v>0</v>
      </c>
      <c r="Q232" s="34">
        <f>SUM($I$234*'Materiálové hodnoty'!$E75*'Materiálové hodnoty'!L75*$K232)</f>
        <v>0</v>
      </c>
    </row>
    <row r="233" spans="1:17" ht="12.75">
      <c r="A233" s="59"/>
      <c r="B233" s="50">
        <v>0</v>
      </c>
      <c r="C233" s="50">
        <v>0</v>
      </c>
      <c r="D233" s="50">
        <v>0</v>
      </c>
      <c r="E233" s="51">
        <v>1</v>
      </c>
      <c r="F233" s="50">
        <f>SUM(B233*C233*D233*E233)</f>
        <v>0</v>
      </c>
      <c r="G233" s="50">
        <v>0</v>
      </c>
      <c r="H233" s="50">
        <f>SUM(F233:G233)</f>
        <v>0</v>
      </c>
      <c r="K233" s="52">
        <v>0</v>
      </c>
      <c r="L233" s="33" t="str">
        <f>'Materiálové hodnoty'!B76</f>
        <v>Ľanové rohože bez PE vlákien</v>
      </c>
      <c r="O233" s="34">
        <f>SUM($I$234*'Materiálové hodnoty'!$E76*'Materiálové hodnoty'!J76*$K233)</f>
        <v>0</v>
      </c>
      <c r="P233" s="34">
        <f>SUM($I$234*'Materiálové hodnoty'!$E76*'Materiálové hodnoty'!K76*$K233)</f>
        <v>0</v>
      </c>
      <c r="Q233" s="34">
        <f>SUM($I$234*'Materiálové hodnoty'!$E76*'Materiálové hodnoty'!L76*$K233)</f>
        <v>0</v>
      </c>
    </row>
    <row r="234" spans="2:17" ht="12.75">
      <c r="B234" s="50">
        <v>0</v>
      </c>
      <c r="C234" s="50">
        <v>0</v>
      </c>
      <c r="D234" s="50">
        <v>0</v>
      </c>
      <c r="E234" s="51">
        <v>1</v>
      </c>
      <c r="F234" s="50">
        <f>SUM(B234*C234*D234*E234)</f>
        <v>0</v>
      </c>
      <c r="G234" s="50">
        <v>0</v>
      </c>
      <c r="H234" s="50">
        <f>SUM(F234:G234)</f>
        <v>0</v>
      </c>
      <c r="I234" s="31">
        <f>SUM(H229:H234)</f>
        <v>0</v>
      </c>
      <c r="J234" s="32" t="s">
        <v>31</v>
      </c>
      <c r="K234" s="52">
        <v>0</v>
      </c>
      <c r="L234" s="33" t="str">
        <f>'Materiálové hodnoty'!B77</f>
        <v>Vlna</v>
      </c>
      <c r="O234" s="34">
        <f>SUM($I$234*'Materiálové hodnoty'!$E77*'Materiálové hodnoty'!J77*$K234)</f>
        <v>0</v>
      </c>
      <c r="P234" s="34">
        <f>SUM($I$234*'Materiálové hodnoty'!$E77*'Materiálové hodnoty'!K77*$K234)</f>
        <v>0</v>
      </c>
      <c r="Q234" s="34">
        <f>SUM($I$234*'Materiálové hodnoty'!$E77*'Materiálové hodnoty'!L77*$K234)</f>
        <v>0</v>
      </c>
    </row>
    <row r="235" spans="11:17" ht="12.75">
      <c r="K235" s="32"/>
      <c r="L235" s="56"/>
      <c r="M235" s="56"/>
      <c r="N235" s="56"/>
      <c r="O235" s="57"/>
      <c r="P235" s="57"/>
      <c r="Q235" s="57"/>
    </row>
    <row r="236" spans="1:17" ht="15">
      <c r="A236" s="42" t="s">
        <v>86</v>
      </c>
      <c r="B236" s="43"/>
      <c r="C236" s="43"/>
      <c r="D236" s="43"/>
      <c r="E236" s="44"/>
      <c r="F236" s="43"/>
      <c r="G236" s="43"/>
      <c r="H236" s="43"/>
      <c r="I236" s="42"/>
      <c r="J236" s="42"/>
      <c r="K236" s="42"/>
      <c r="L236" s="45"/>
      <c r="M236" s="45"/>
      <c r="N236" s="45"/>
      <c r="O236" s="46">
        <f>SUM(O239:O256)</f>
        <v>17270.825</v>
      </c>
      <c r="P236" s="46">
        <f>SUM(P239:P256)</f>
        <v>893.7350000000001</v>
      </c>
      <c r="Q236" s="46">
        <f>SUM(Q239:Q256)</f>
        <v>3.9855750000000003</v>
      </c>
    </row>
    <row r="237" spans="11:17" ht="12.75">
      <c r="K237" s="32"/>
      <c r="L237" s="56"/>
      <c r="M237" s="56"/>
      <c r="N237" s="56"/>
      <c r="O237" s="57"/>
      <c r="P237" s="57"/>
      <c r="Q237" s="57"/>
    </row>
    <row r="238" spans="1:11" ht="12.75">
      <c r="A238" s="31" t="s">
        <v>87</v>
      </c>
      <c r="B238" s="47" t="s">
        <v>23</v>
      </c>
      <c r="C238" s="47" t="s">
        <v>24</v>
      </c>
      <c r="D238" s="47"/>
      <c r="E238" s="30" t="s">
        <v>26</v>
      </c>
      <c r="F238" s="47" t="s">
        <v>35</v>
      </c>
      <c r="G238" s="47" t="s">
        <v>28</v>
      </c>
      <c r="H238" s="47" t="s">
        <v>29</v>
      </c>
      <c r="I238" s="48" t="s">
        <v>30</v>
      </c>
      <c r="J238" s="49"/>
      <c r="K238" s="32"/>
    </row>
    <row r="239" spans="1:17" ht="12.75">
      <c r="A239" s="58" t="s">
        <v>88</v>
      </c>
      <c r="B239" s="50">
        <v>63.2</v>
      </c>
      <c r="C239" s="50">
        <v>1</v>
      </c>
      <c r="D239" s="50"/>
      <c r="E239" s="51">
        <v>1</v>
      </c>
      <c r="F239" s="50">
        <f>SUM(B239*C239*E239)</f>
        <v>63.2</v>
      </c>
      <c r="G239" s="50">
        <v>0</v>
      </c>
      <c r="H239" s="50">
        <f>SUM(F239:G239)</f>
        <v>63.2</v>
      </c>
      <c r="K239" s="52">
        <v>1</v>
      </c>
      <c r="L239" s="33" t="str">
        <f>'Materiálové hodnoty'!B116</f>
        <v>Fasádne lepidlo</v>
      </c>
      <c r="O239" s="34">
        <f>SUM($I$243*'Materiálové hodnoty'!N116*$K239)</f>
        <v>4806.845</v>
      </c>
      <c r="P239" s="34">
        <f>SUM($I$243*'Materiálové hodnoty'!O116*$K239)</f>
        <v>386.48</v>
      </c>
      <c r="Q239" s="34">
        <f>SUM($I$243*'Materiálové hodnoty'!P116*$K239)</f>
        <v>1.183595</v>
      </c>
    </row>
    <row r="240" spans="1:17" ht="12.75">
      <c r="A240" s="58"/>
      <c r="B240" s="50">
        <v>164.7</v>
      </c>
      <c r="C240" s="50">
        <v>1</v>
      </c>
      <c r="D240" s="50"/>
      <c r="E240" s="51">
        <v>1</v>
      </c>
      <c r="F240" s="50">
        <f>SUM(B240*C240*E240)</f>
        <v>164.7</v>
      </c>
      <c r="G240" s="50">
        <v>0</v>
      </c>
      <c r="H240" s="50">
        <f>SUM(F240:G240)</f>
        <v>164.7</v>
      </c>
      <c r="K240" s="52">
        <v>0</v>
      </c>
      <c r="L240" s="33" t="str">
        <f>'Materiálové hodnoty'!B117</f>
        <v>Fasádne lepidlo na drevovláknité dosky</v>
      </c>
      <c r="O240" s="34">
        <f>SUM($I$243*'Materiálové hodnoty'!N117*$K240)</f>
        <v>0</v>
      </c>
      <c r="P240" s="34">
        <f>SUM($I$243*'Materiálové hodnoty'!O117*$K240)</f>
        <v>0</v>
      </c>
      <c r="Q240" s="34">
        <f>SUM($I$243*'Materiálové hodnoty'!P117*$K240)</f>
        <v>0</v>
      </c>
    </row>
    <row r="241" spans="1:17" ht="12.75">
      <c r="A241" s="58"/>
      <c r="B241" s="50">
        <v>45.5</v>
      </c>
      <c r="C241" s="50">
        <v>0.30000000000000004</v>
      </c>
      <c r="D241" s="50"/>
      <c r="E241" s="51">
        <v>1</v>
      </c>
      <c r="F241" s="50">
        <f>SUM(B241*C241*E241)</f>
        <v>13.650000000000002</v>
      </c>
      <c r="G241" s="50">
        <v>0</v>
      </c>
      <c r="H241" s="50">
        <f>SUM(F241:G241)</f>
        <v>13.650000000000002</v>
      </c>
      <c r="K241" s="52">
        <v>1</v>
      </c>
      <c r="L241" s="33" t="str">
        <f>'Materiálové hodnoty'!B118</f>
        <v>Sklotextílna mriežka</v>
      </c>
      <c r="O241" s="34">
        <f>SUM($I$243*'Materiálové hodnoty'!N118*$K241)</f>
        <v>1739.16</v>
      </c>
      <c r="P241" s="34">
        <f>SUM($I$243*'Materiálové hodnoty'!O118*$K241)</f>
        <v>96.62</v>
      </c>
      <c r="Q241" s="34">
        <f>SUM($I$243*'Materiálové hodnoty'!P118*$K241)</f>
        <v>0.6280300000000001</v>
      </c>
    </row>
    <row r="242" spans="2:17" ht="12.75">
      <c r="B242" s="50">
        <v>0</v>
      </c>
      <c r="C242" s="50">
        <v>0</v>
      </c>
      <c r="D242" s="50"/>
      <c r="E242" s="51">
        <v>1</v>
      </c>
      <c r="F242" s="50">
        <f>SUM(B242*C242*E242)</f>
        <v>0</v>
      </c>
      <c r="G242" s="50">
        <v>0</v>
      </c>
      <c r="H242" s="50">
        <f>SUM(F242:G242)</f>
        <v>0</v>
      </c>
      <c r="K242" s="52">
        <v>0</v>
      </c>
      <c r="L242" s="33" t="str">
        <f>'Materiálové hodnoty'!B119</f>
        <v>Silikátová omietka so základom</v>
      </c>
      <c r="O242" s="34">
        <f>SUM($I$243*'Materiálové hodnoty'!N119*$K242)</f>
        <v>0</v>
      </c>
      <c r="P242" s="34">
        <f>SUM($I$243*'Materiálové hodnoty'!O119*$K242)</f>
        <v>0</v>
      </c>
      <c r="Q242" s="34">
        <f>SUM($I$243*'Materiálové hodnoty'!P119*$K242)</f>
        <v>0</v>
      </c>
    </row>
    <row r="243" spans="2:17" ht="12.75">
      <c r="B243" s="50">
        <v>0</v>
      </c>
      <c r="C243" s="50">
        <v>0</v>
      </c>
      <c r="D243" s="50"/>
      <c r="E243" s="51">
        <v>1</v>
      </c>
      <c r="F243" s="50">
        <f>SUM(B243*C243*E243)</f>
        <v>0</v>
      </c>
      <c r="G243" s="50">
        <v>0</v>
      </c>
      <c r="H243" s="50">
        <f>SUM(F243:G243)</f>
        <v>0</v>
      </c>
      <c r="I243" s="31">
        <f>SUM(H239:H243)</f>
        <v>241.55</v>
      </c>
      <c r="J243" s="32" t="s">
        <v>36</v>
      </c>
      <c r="K243" s="52">
        <v>1</v>
      </c>
      <c r="L243" s="33" t="str">
        <f>'Materiálové hodnoty'!B120</f>
        <v>Silikónová omietka so základom</v>
      </c>
      <c r="O243" s="34">
        <f>SUM($I$243*'Materiálové hodnoty'!N120*$K243)</f>
        <v>10724.82</v>
      </c>
      <c r="P243" s="34">
        <f>SUM($I$243*'Materiálové hodnoty'!O120*$K243)</f>
        <v>410.63500000000005</v>
      </c>
      <c r="Q243" s="34">
        <f>SUM($I$243*'Materiálové hodnoty'!P120*$K243)</f>
        <v>2.1739500000000005</v>
      </c>
    </row>
    <row r="244" spans="5:17" s="18" customFormat="1" ht="12.75">
      <c r="E244" s="53"/>
      <c r="I244" s="32"/>
      <c r="J244" s="32"/>
      <c r="K244" s="32"/>
      <c r="L244" s="56"/>
      <c r="M244" s="56"/>
      <c r="N244" s="56"/>
      <c r="O244" s="57"/>
      <c r="P244" s="57"/>
      <c r="Q244" s="57"/>
    </row>
    <row r="245" spans="1:17" s="18" customFormat="1" ht="12.75">
      <c r="A245" s="58" t="s">
        <v>89</v>
      </c>
      <c r="B245" s="47" t="s">
        <v>23</v>
      </c>
      <c r="C245" s="47" t="s">
        <v>24</v>
      </c>
      <c r="D245" s="47" t="s">
        <v>48</v>
      </c>
      <c r="E245" s="30" t="s">
        <v>26</v>
      </c>
      <c r="F245" s="47" t="s">
        <v>27</v>
      </c>
      <c r="G245" s="47" t="s">
        <v>28</v>
      </c>
      <c r="H245" s="47" t="s">
        <v>29</v>
      </c>
      <c r="I245" s="48" t="s">
        <v>30</v>
      </c>
      <c r="J245" s="49"/>
      <c r="K245" s="52">
        <v>0</v>
      </c>
      <c r="L245" s="33" t="str">
        <f>'Materiálové hodnoty'!B32</f>
        <v>Drevovláknitá doska</v>
      </c>
      <c r="M245" s="33"/>
      <c r="N245" s="33"/>
      <c r="O245" s="34">
        <f>SUM($I$250*'Materiálové hodnoty'!$E32*'Materiálové hodnoty'!J32*$K245)</f>
        <v>0</v>
      </c>
      <c r="P245" s="34">
        <f>SUM($I$250*'Materiálové hodnoty'!$E32*'Materiálové hodnoty'!K32*$K245)</f>
        <v>0</v>
      </c>
      <c r="Q245" s="34">
        <f>SUM($I$250*'Materiálové hodnoty'!$E32*'Materiálové hodnoty'!L32*$K245)</f>
        <v>0</v>
      </c>
    </row>
    <row r="246" spans="1:17" s="18" customFormat="1" ht="12.75">
      <c r="A246"/>
      <c r="B246" s="50">
        <v>0</v>
      </c>
      <c r="C246" s="50">
        <v>1</v>
      </c>
      <c r="D246" s="64">
        <v>0</v>
      </c>
      <c r="E246" s="51">
        <v>1</v>
      </c>
      <c r="F246" s="50">
        <f>SUM(B246*C246*D246*E246)</f>
        <v>0</v>
      </c>
      <c r="G246" s="50">
        <v>0</v>
      </c>
      <c r="H246" s="50">
        <f>SUM(F246:G246)</f>
        <v>0</v>
      </c>
      <c r="I246" s="31"/>
      <c r="J246" s="32"/>
      <c r="K246" s="52">
        <v>0</v>
      </c>
      <c r="L246" s="33" t="str">
        <f>'Materiálové hodnoty'!B33</f>
        <v>Drevený záklop</v>
      </c>
      <c r="M246" s="33"/>
      <c r="N246" s="33"/>
      <c r="O246" s="34">
        <f>SUM($I$250*'Materiálové hodnoty'!$E33*'Materiálové hodnoty'!J33*$K246)</f>
        <v>0</v>
      </c>
      <c r="P246" s="34">
        <f>SUM($I$250*'Materiálové hodnoty'!$E33*'Materiálové hodnoty'!K33*$K246)</f>
        <v>0</v>
      </c>
      <c r="Q246" s="34">
        <f>SUM($I$250*'Materiálové hodnoty'!$E33*'Materiálové hodnoty'!L33*$K246)</f>
        <v>0</v>
      </c>
    </row>
    <row r="247" spans="1:17" s="18" customFormat="1" ht="12.75">
      <c r="A247"/>
      <c r="B247" s="50">
        <v>0</v>
      </c>
      <c r="C247" s="50">
        <v>1</v>
      </c>
      <c r="D247" s="64">
        <v>0</v>
      </c>
      <c r="E247" s="51">
        <v>1</v>
      </c>
      <c r="F247" s="50">
        <f>SUM(B247*C247*D247*E247)</f>
        <v>0</v>
      </c>
      <c r="G247" s="50">
        <v>0</v>
      </c>
      <c r="H247" s="50">
        <f>SUM(F247:G247)</f>
        <v>0</v>
      </c>
      <c r="I247" s="31"/>
      <c r="J247" s="32"/>
      <c r="K247" s="52">
        <v>1</v>
      </c>
      <c r="L247" s="33" t="str">
        <f>'Materiálové hodnoty'!B34</f>
        <v>MDF </v>
      </c>
      <c r="M247" s="33"/>
      <c r="N247" s="33"/>
      <c r="O247" s="34">
        <f>SUM($I$250*'Materiálové hodnoty'!$E34*'Materiálové hodnoty'!J34*$K247)</f>
        <v>0</v>
      </c>
      <c r="P247" s="34">
        <f>SUM($I$250*'Materiálové hodnoty'!$E34*'Materiálové hodnoty'!K34*$K247)</f>
        <v>0</v>
      </c>
      <c r="Q247" s="34">
        <f>SUM($I$250*'Materiálové hodnoty'!$E34*'Materiálové hodnoty'!L34*$K247)</f>
        <v>0</v>
      </c>
    </row>
    <row r="248" spans="1:17" s="18" customFormat="1" ht="12.75">
      <c r="A248"/>
      <c r="B248" s="50">
        <v>0</v>
      </c>
      <c r="C248" s="50">
        <v>0</v>
      </c>
      <c r="D248" s="64">
        <v>0</v>
      </c>
      <c r="E248" s="51">
        <v>1</v>
      </c>
      <c r="F248" s="50">
        <f>SUM(B248*C248*D248*E248)</f>
        <v>0</v>
      </c>
      <c r="G248" s="50">
        <v>0</v>
      </c>
      <c r="H248" s="50">
        <f>SUM(F248:G248)</f>
        <v>0</v>
      </c>
      <c r="I248"/>
      <c r="J248"/>
      <c r="K248" s="52">
        <v>0</v>
      </c>
      <c r="L248" s="33" t="str">
        <f>'Materiálové hodnoty'!B35</f>
        <v>OSB</v>
      </c>
      <c r="M248" s="33"/>
      <c r="N248" s="33"/>
      <c r="O248" s="34">
        <f>SUM($I$250*'Materiálové hodnoty'!$E35*'Materiálové hodnoty'!J35*$K248)</f>
        <v>0</v>
      </c>
      <c r="P248" s="34">
        <f>SUM($I$250*'Materiálové hodnoty'!$E35*'Materiálové hodnoty'!K35*$K248)</f>
        <v>0</v>
      </c>
      <c r="Q248" s="34">
        <f>SUM($I$250*'Materiálové hodnoty'!$E35*'Materiálové hodnoty'!L35*$K248)</f>
        <v>0</v>
      </c>
    </row>
    <row r="249" spans="1:17" s="18" customFormat="1" ht="12.75">
      <c r="A249"/>
      <c r="B249" s="50">
        <v>0</v>
      </c>
      <c r="C249" s="50">
        <v>0</v>
      </c>
      <c r="D249" s="64">
        <v>0</v>
      </c>
      <c r="E249" s="51">
        <v>1</v>
      </c>
      <c r="F249" s="50">
        <f>SUM(B249*C249*D249*E249)</f>
        <v>0</v>
      </c>
      <c r="G249" s="50">
        <v>0</v>
      </c>
      <c r="H249" s="50">
        <f>SUM(F249:G249)</f>
        <v>0</v>
      </c>
      <c r="I249" s="31"/>
      <c r="J249" s="32"/>
      <c r="K249" s="52">
        <v>0</v>
      </c>
      <c r="L249" s="33" t="str">
        <f>'Materiálové hodnoty'!B36</f>
        <v>Drevocementové dosky</v>
      </c>
      <c r="M249" s="33"/>
      <c r="N249" s="33"/>
      <c r="O249" s="34">
        <f>SUM($I$250*'Materiálové hodnoty'!$E36*'Materiálové hodnoty'!J36*$K249)</f>
        <v>0</v>
      </c>
      <c r="P249" s="34">
        <f>SUM($I$250*'Materiálové hodnoty'!$E36*'Materiálové hodnoty'!K36*$K249)</f>
        <v>0</v>
      </c>
      <c r="Q249" s="34">
        <f>SUM($I$250*'Materiálové hodnoty'!$E36*'Materiálové hodnoty'!L36*$K249)</f>
        <v>0</v>
      </c>
    </row>
    <row r="250" spans="1:17" s="18" customFormat="1" ht="12.75">
      <c r="A250"/>
      <c r="B250" s="50">
        <v>0</v>
      </c>
      <c r="C250" s="50">
        <v>0</v>
      </c>
      <c r="D250" s="64">
        <v>0</v>
      </c>
      <c r="E250" s="51">
        <v>1</v>
      </c>
      <c r="F250" s="50">
        <f>SUM(B250*C250*D250*E250)</f>
        <v>0</v>
      </c>
      <c r="G250" s="50">
        <v>0</v>
      </c>
      <c r="H250" s="50">
        <f>SUM(F250:G250)</f>
        <v>0</v>
      </c>
      <c r="I250" s="31">
        <f>SUM(H246:H250)</f>
        <v>0</v>
      </c>
      <c r="J250" s="32" t="s">
        <v>27</v>
      </c>
      <c r="K250" s="52">
        <v>0</v>
      </c>
      <c r="L250" s="33" t="str">
        <f>'Materiálové hodnoty'!B37</f>
        <v>Drevomagnezitové dosky</v>
      </c>
      <c r="M250" s="33"/>
      <c r="N250" s="33"/>
      <c r="O250" s="34">
        <f>SUM($I$250*'Materiálové hodnoty'!$E37*'Materiálové hodnoty'!J37*$K250)</f>
        <v>0</v>
      </c>
      <c r="P250" s="34">
        <f>SUM($I$250*'Materiálové hodnoty'!$E37*'Materiálové hodnoty'!K37*$K250)</f>
        <v>0</v>
      </c>
      <c r="Q250" s="34">
        <f>SUM($I$250*'Materiálové hodnoty'!$E37*'Materiálové hodnoty'!L37*$K250)</f>
        <v>0</v>
      </c>
    </row>
    <row r="251" spans="5:17" s="18" customFormat="1" ht="12.75">
      <c r="E251" s="53"/>
      <c r="I251" s="32"/>
      <c r="J251" s="32"/>
      <c r="K251" s="32"/>
      <c r="L251" s="56"/>
      <c r="M251" s="56"/>
      <c r="N251" s="56"/>
      <c r="O251" s="57"/>
      <c r="P251" s="57"/>
      <c r="Q251" s="57"/>
    </row>
    <row r="252" spans="1:17" s="18" customFormat="1" ht="12.75">
      <c r="A252" s="58" t="s">
        <v>90</v>
      </c>
      <c r="B252" s="47" t="s">
        <v>23</v>
      </c>
      <c r="C252" s="47" t="s">
        <v>24</v>
      </c>
      <c r="D252" s="47"/>
      <c r="E252" s="30" t="s">
        <v>26</v>
      </c>
      <c r="F252" s="47" t="s">
        <v>35</v>
      </c>
      <c r="G252" s="47" t="s">
        <v>28</v>
      </c>
      <c r="H252" s="47" t="s">
        <v>29</v>
      </c>
      <c r="I252" s="48" t="s">
        <v>30</v>
      </c>
      <c r="J252" s="49"/>
      <c r="K252" s="52">
        <v>0</v>
      </c>
      <c r="L252" s="33" t="str">
        <f>'Materiálové hodnoty'!B115</f>
        <v>Tepelnoizolačné omietka s perlitom 30mm</v>
      </c>
      <c r="M252" s="33"/>
      <c r="N252" s="33"/>
      <c r="O252" s="34">
        <f>SUM($I$255*'Materiálové hodnoty'!N115*$K252)</f>
        <v>0</v>
      </c>
      <c r="P252" s="34">
        <f>SUM($I$255*'Materiálové hodnoty'!O115*$K252)</f>
        <v>0</v>
      </c>
      <c r="Q252" s="34">
        <f>SUM($I$255*'Materiálové hodnoty'!P115*$K252)</f>
        <v>0</v>
      </c>
    </row>
    <row r="253" spans="1:17" s="18" customFormat="1" ht="12.75">
      <c r="A253"/>
      <c r="B253" s="50">
        <v>0</v>
      </c>
      <c r="C253" s="50">
        <v>1</v>
      </c>
      <c r="D253" s="50"/>
      <c r="E253" s="51">
        <v>1</v>
      </c>
      <c r="F253" s="50">
        <f>SUM(B253*C253*E253)</f>
        <v>0</v>
      </c>
      <c r="G253" s="50">
        <v>0</v>
      </c>
      <c r="H253" s="50">
        <f>SUM(F253:G253)</f>
        <v>0</v>
      </c>
      <c r="I253" s="31"/>
      <c r="J253" s="32"/>
      <c r="K253" s="52">
        <v>0</v>
      </c>
      <c r="L253" s="33" t="str">
        <f>'Materiálové hodnoty'!B121</f>
        <v>Cementovláknitá doska, Eternit</v>
      </c>
      <c r="M253" s="56"/>
      <c r="N253" s="56"/>
      <c r="O253" s="34">
        <f>SUM($I$255*'Materiálové hodnoty'!N121*$K253)</f>
        <v>0</v>
      </c>
      <c r="P253" s="34">
        <f>SUM($I$255*'Materiálové hodnoty'!O121*$K253)</f>
        <v>0</v>
      </c>
      <c r="Q253" s="34">
        <f>SUM($I$255*'Materiálové hodnoty'!P121*$K253)</f>
        <v>0</v>
      </c>
    </row>
    <row r="254" spans="1:17" s="18" customFormat="1" ht="12.75">
      <c r="A254"/>
      <c r="B254" s="50">
        <v>0</v>
      </c>
      <c r="C254" s="50">
        <v>1</v>
      </c>
      <c r="D254" s="50"/>
      <c r="E254" s="51">
        <v>1</v>
      </c>
      <c r="F254" s="50">
        <f>SUM(B254*C254*E254)</f>
        <v>0</v>
      </c>
      <c r="G254" s="50">
        <v>0</v>
      </c>
      <c r="H254" s="50">
        <f>SUM(F254:G254)</f>
        <v>0</v>
      </c>
      <c r="I254" s="31"/>
      <c r="J254" s="32"/>
      <c r="K254" s="52">
        <v>0</v>
      </c>
      <c r="L254" s="33" t="str">
        <f>'Materiálové hodnoty'!B122</f>
        <v>Drevený obklad</v>
      </c>
      <c r="M254" s="56"/>
      <c r="N254" s="56"/>
      <c r="O254" s="34">
        <f>SUM($I$255*'Materiálové hodnoty'!N122*$K254)</f>
        <v>0</v>
      </c>
      <c r="P254" s="34">
        <f>SUM($I$255*'Materiálové hodnoty'!O122*$K254)</f>
        <v>0</v>
      </c>
      <c r="Q254" s="34">
        <f>SUM($I$255*'Materiálové hodnoty'!P122*$K254)</f>
        <v>0</v>
      </c>
    </row>
    <row r="255" spans="1:17" s="18" customFormat="1" ht="12.75">
      <c r="A255"/>
      <c r="B255" s="50">
        <v>0</v>
      </c>
      <c r="C255" s="50">
        <v>0</v>
      </c>
      <c r="D255" s="50"/>
      <c r="E255" s="51">
        <v>1</v>
      </c>
      <c r="F255" s="50">
        <f>SUM(B255*C255*E255)</f>
        <v>0</v>
      </c>
      <c r="G255" s="50">
        <v>0</v>
      </c>
      <c r="H255" s="50">
        <f>SUM(F255:G255)</f>
        <v>0</v>
      </c>
      <c r="I255" s="31">
        <f>SUM(H253:H255)</f>
        <v>0</v>
      </c>
      <c r="J255" s="32" t="s">
        <v>35</v>
      </c>
      <c r="K255" s="52">
        <v>0</v>
      </c>
      <c r="L255" s="33" t="str">
        <f>'Materiálové hodnoty'!B123</f>
        <v>Preglejka</v>
      </c>
      <c r="M255" s="56"/>
      <c r="N255" s="56"/>
      <c r="O255" s="34">
        <f>SUM($I$255*'Materiálové hodnoty'!N123*$K255)</f>
        <v>0</v>
      </c>
      <c r="P255" s="34">
        <f>SUM($I$255*'Materiálové hodnoty'!O123*$K255)</f>
        <v>0</v>
      </c>
      <c r="Q255" s="34">
        <f>SUM($I$255*'Materiálové hodnoty'!P123*$K255)</f>
        <v>0</v>
      </c>
    </row>
    <row r="256" spans="11:17" ht="12.75">
      <c r="K256" s="32"/>
      <c r="L256" s="56"/>
      <c r="M256" s="56"/>
      <c r="N256" s="56"/>
      <c r="O256" s="57"/>
      <c r="P256" s="57"/>
      <c r="Q256" s="57"/>
    </row>
    <row r="257" spans="1:17" ht="12.75">
      <c r="A257" t="s">
        <v>91</v>
      </c>
      <c r="B257" s="50">
        <f>SUM(B253:B256)</f>
        <v>0</v>
      </c>
      <c r="C257" s="50">
        <v>1</v>
      </c>
      <c r="D257" s="64">
        <v>0.005</v>
      </c>
      <c r="E257" s="51">
        <v>1</v>
      </c>
      <c r="F257" s="50">
        <f>SUM(B257*C257*D257*E257)</f>
        <v>0</v>
      </c>
      <c r="G257" s="50">
        <v>0</v>
      </c>
      <c r="H257" s="50">
        <f>SUM(F257:G257)</f>
        <v>0</v>
      </c>
      <c r="K257" s="52">
        <v>1</v>
      </c>
      <c r="L257" s="33" t="str">
        <f>('Materiálové hodnoty'!B10)</f>
        <v>Stavebné drevo sušené na vzduchu</v>
      </c>
      <c r="M257" s="56"/>
      <c r="N257" s="56"/>
      <c r="O257" s="34">
        <f>SUM($I$259*'Materiálové hodnoty'!$E10*'Materiálové hodnoty'!J10*$K257)</f>
        <v>0</v>
      </c>
      <c r="P257" s="34">
        <f>SUM($I$259*'Materiálové hodnoty'!$E10*'Materiálové hodnoty'!K10*$K257)</f>
        <v>0</v>
      </c>
      <c r="Q257" s="34">
        <f>SUM($I$259*'Materiálové hodnoty'!$E10*'Materiálové hodnoty'!L10*$K257)</f>
        <v>0</v>
      </c>
    </row>
    <row r="258" spans="2:17" ht="12.75">
      <c r="B258" s="50">
        <v>0</v>
      </c>
      <c r="C258" s="50">
        <v>0</v>
      </c>
      <c r="D258" s="64">
        <v>0</v>
      </c>
      <c r="E258" s="51">
        <v>1</v>
      </c>
      <c r="F258" s="50">
        <f>SUM(B258*C258*D258*E258)</f>
        <v>0</v>
      </c>
      <c r="G258" s="50">
        <v>0</v>
      </c>
      <c r="H258" s="50">
        <f>SUM(F258:G258)</f>
        <v>0</v>
      </c>
      <c r="K258" s="52">
        <v>0</v>
      </c>
      <c r="L258" s="33" t="str">
        <f>('Materiálové hodnoty'!B11)</f>
        <v>Stavebné drevo technicky sušené</v>
      </c>
      <c r="O258" s="34">
        <f>SUM($I$259*'Materiálové hodnoty'!$E11*'Materiálové hodnoty'!J11*$K258)</f>
        <v>0</v>
      </c>
      <c r="P258" s="34">
        <f>SUM($I$259*'Materiálové hodnoty'!$E11*'Materiálové hodnoty'!K11*$K258)</f>
        <v>0</v>
      </c>
      <c r="Q258" s="34">
        <f>SUM($I$259*'Materiálové hodnoty'!$E11*'Materiálové hodnoty'!L11*$K258)</f>
        <v>0</v>
      </c>
    </row>
    <row r="259" spans="2:17" ht="12.75">
      <c r="B259" s="50">
        <v>0</v>
      </c>
      <c r="C259" s="50">
        <v>0</v>
      </c>
      <c r="D259" s="64">
        <v>0</v>
      </c>
      <c r="E259" s="51">
        <v>1</v>
      </c>
      <c r="F259" s="50">
        <f>SUM(B259*C259*D259*E259)</f>
        <v>0</v>
      </c>
      <c r="G259" s="50">
        <v>0</v>
      </c>
      <c r="H259" s="50">
        <f>SUM(F259:G259)</f>
        <v>0</v>
      </c>
      <c r="I259" s="31">
        <f>SUM(H257:H259)</f>
        <v>0</v>
      </c>
      <c r="J259" s="32" t="s">
        <v>31</v>
      </c>
      <c r="K259" s="52">
        <v>0</v>
      </c>
      <c r="L259" s="33" t="str">
        <f>('Materiálové hodnoty'!B12)</f>
        <v>Lepené drevené hranoly</v>
      </c>
      <c r="M259" s="56"/>
      <c r="N259" s="56"/>
      <c r="O259" s="34">
        <f>SUM($I$259*'Materiálové hodnoty'!$E12*'Materiálové hodnoty'!J12*$K259)</f>
        <v>0</v>
      </c>
      <c r="P259" s="34">
        <f>SUM($I$259*'Materiálové hodnoty'!$E12*'Materiálové hodnoty'!K12*$K259)</f>
        <v>0</v>
      </c>
      <c r="Q259" s="34">
        <f>SUM($I$259*'Materiálové hodnoty'!$E12*'Materiálové hodnoty'!L12*$K259)</f>
        <v>0</v>
      </c>
    </row>
    <row r="260" spans="11:17" ht="12.75">
      <c r="K260" s="32"/>
      <c r="L260" s="56"/>
      <c r="M260" s="56"/>
      <c r="N260" s="56"/>
      <c r="O260" s="57"/>
      <c r="P260" s="57"/>
      <c r="Q260" s="57"/>
    </row>
    <row r="261" spans="11:17" ht="12.75">
      <c r="K261" s="32"/>
      <c r="L261" s="56"/>
      <c r="M261" s="56"/>
      <c r="N261" s="56"/>
      <c r="O261" s="57"/>
      <c r="P261" s="57"/>
      <c r="Q261" s="57"/>
    </row>
    <row r="262" spans="1:17" ht="15">
      <c r="A262" s="42" t="s">
        <v>92</v>
      </c>
      <c r="B262" s="43"/>
      <c r="C262" s="43"/>
      <c r="D262" s="43"/>
      <c r="E262" s="44"/>
      <c r="F262" s="43"/>
      <c r="G262" s="43"/>
      <c r="H262" s="43"/>
      <c r="I262" s="42"/>
      <c r="J262" s="42"/>
      <c r="K262" s="42"/>
      <c r="L262" s="45"/>
      <c r="M262" s="45"/>
      <c r="N262" s="45"/>
      <c r="O262" s="46">
        <f>SUM(O264:O310)</f>
        <v>98484.59059999998</v>
      </c>
      <c r="P262" s="46">
        <f>SUM(P264:P310)</f>
        <v>6162.97238</v>
      </c>
      <c r="Q262" s="46">
        <f>SUM(Q264:Q310)</f>
        <v>37.9033418</v>
      </c>
    </row>
    <row r="263" spans="11:17" ht="12.75">
      <c r="K263" s="32"/>
      <c r="L263" s="56"/>
      <c r="M263" s="56"/>
      <c r="N263" s="56"/>
      <c r="O263" s="57"/>
      <c r="P263" s="57"/>
      <c r="Q263" s="57"/>
    </row>
    <row r="264" spans="11:17" ht="12.75">
      <c r="K264" s="32"/>
      <c r="L264" s="56"/>
      <c r="M264" s="56"/>
      <c r="N264" s="56"/>
      <c r="O264" s="57"/>
      <c r="P264" s="57"/>
      <c r="Q264" s="57"/>
    </row>
    <row r="265" spans="1:17" ht="12.75">
      <c r="A265" s="31" t="s">
        <v>83</v>
      </c>
      <c r="B265" s="47" t="s">
        <v>82</v>
      </c>
      <c r="C265" s="47" t="s">
        <v>61</v>
      </c>
      <c r="D265" s="47" t="s">
        <v>48</v>
      </c>
      <c r="E265" s="30" t="s">
        <v>26</v>
      </c>
      <c r="F265" s="47" t="s">
        <v>27</v>
      </c>
      <c r="G265" s="47" t="s">
        <v>28</v>
      </c>
      <c r="H265" s="47" t="s">
        <v>29</v>
      </c>
      <c r="I265" s="48" t="s">
        <v>30</v>
      </c>
      <c r="K265" s="52">
        <v>0</v>
      </c>
      <c r="L265" s="33" t="str">
        <f>'Materiálové hodnoty'!B89</f>
        <v>Palubovka</v>
      </c>
      <c r="O265" s="34">
        <f>SUM($I$272*'Materiálové hodnoty'!$E89*'Materiálové hodnoty'!J89*$K265)</f>
        <v>0</v>
      </c>
      <c r="P265" s="34">
        <f>SUM($I$272*'Materiálové hodnoty'!$E89*'Materiálové hodnoty'!K89*$K265)</f>
        <v>0</v>
      </c>
      <c r="Q265" s="34">
        <f>SUM($I$272*'Materiálové hodnoty'!$E89*'Materiálové hodnoty'!L89*$K265)</f>
        <v>0</v>
      </c>
    </row>
    <row r="266" spans="11:17" ht="12.75">
      <c r="K266" s="52">
        <v>0</v>
      </c>
      <c r="L266" s="33" t="str">
        <f>'Materiálové hodnoty'!B90</f>
        <v>Linoleum</v>
      </c>
      <c r="O266" s="34">
        <f>SUM($I$272*'Materiálové hodnoty'!$E90*'Materiálové hodnoty'!J90*$K266)</f>
        <v>0</v>
      </c>
      <c r="P266" s="34">
        <f>SUM($I$272*'Materiálové hodnoty'!$E90*'Materiálové hodnoty'!K90*$K266)</f>
        <v>0</v>
      </c>
      <c r="Q266" s="34">
        <f>SUM($I$272*'Materiálové hodnoty'!$E90*'Materiálové hodnoty'!L90*$K266)</f>
        <v>0</v>
      </c>
    </row>
    <row r="267" spans="1:17" ht="12.75">
      <c r="A267" s="58"/>
      <c r="K267" s="52">
        <v>0</v>
      </c>
      <c r="L267" s="33" t="str">
        <f>'Materiálové hodnoty'!B91</f>
        <v>Hotové parkety drevené</v>
      </c>
      <c r="O267" s="34">
        <f>SUM($I$272*'Materiálové hodnoty'!$E91*'Materiálové hodnoty'!J91*$K267)</f>
        <v>0</v>
      </c>
      <c r="P267" s="34">
        <f>SUM($I$272*'Materiálové hodnoty'!$E91*'Materiálové hodnoty'!K91*$K267)</f>
        <v>0</v>
      </c>
      <c r="Q267" s="34">
        <f>SUM($I$272*'Materiálové hodnoty'!$E91*'Materiálové hodnoty'!L91*$K267)</f>
        <v>0</v>
      </c>
    </row>
    <row r="268" spans="1:17" ht="12.75">
      <c r="A268" s="58" t="s">
        <v>93</v>
      </c>
      <c r="B268" s="50">
        <v>97</v>
      </c>
      <c r="C268" s="50">
        <v>1</v>
      </c>
      <c r="D268" s="64">
        <v>0.012</v>
      </c>
      <c r="E268" s="51">
        <v>1</v>
      </c>
      <c r="F268" s="50">
        <f>SUM(B268*C268*D268*E268)</f>
        <v>1.164</v>
      </c>
      <c r="G268" s="50">
        <v>0</v>
      </c>
      <c r="H268" s="50">
        <f>SUM(F268:G268)</f>
        <v>1.164</v>
      </c>
      <c r="I268"/>
      <c r="J268"/>
      <c r="K268" s="52">
        <f>SUM(H268/I272)</f>
        <v>0.14010592200288877</v>
      </c>
      <c r="L268" s="33" t="str">
        <f>'Materiálové hodnoty'!B92</f>
        <v>Hotové parkety laminátové</v>
      </c>
      <c r="O268" s="34">
        <f>SUM($I$272*'Materiálové hodnoty'!$E92*'Materiálové hodnoty'!J92*$K268)</f>
        <v>26818.559999999998</v>
      </c>
      <c r="P268" s="34">
        <f>SUM($I$272*'Materiálové hodnoty'!$E92*'Materiálové hodnoty'!K92*$K268)</f>
        <v>458.8488</v>
      </c>
      <c r="Q268" s="34">
        <f>SUM($I$272*'Materiálové hodnoty'!$E92*'Materiálové hodnoty'!L92*$K268)</f>
        <v>15.08544</v>
      </c>
    </row>
    <row r="269" spans="1:17" ht="12.75">
      <c r="A269" s="58" t="s">
        <v>94</v>
      </c>
      <c r="B269" s="50">
        <v>37</v>
      </c>
      <c r="C269" s="50">
        <v>1</v>
      </c>
      <c r="D269" s="64">
        <v>0.012</v>
      </c>
      <c r="E269" s="51">
        <v>1</v>
      </c>
      <c r="F269" s="50">
        <f>SUM(B269*C269*D269*E269)</f>
        <v>0.444</v>
      </c>
      <c r="G269" s="50">
        <v>0</v>
      </c>
      <c r="H269" s="50">
        <f>SUM(F269:G269)</f>
        <v>0.444</v>
      </c>
      <c r="K269" s="52">
        <f>SUM(H269/I272)</f>
        <v>0.053442465093885415</v>
      </c>
      <c r="L269" s="33" t="str">
        <f>'Materiálové hodnoty'!B93</f>
        <v>Keramická dlažba</v>
      </c>
      <c r="O269" s="34">
        <f>SUM($I$272*'Materiálové hodnoty'!$E93*'Materiálové hodnoty'!J93*$K269)</f>
        <v>12343.2</v>
      </c>
      <c r="P269" s="34">
        <f>SUM($I$272*'Materiálové hodnoty'!$E93*'Materiálové hodnoty'!K93*$K269)</f>
        <v>636.6959999999999</v>
      </c>
      <c r="Q269" s="34">
        <f>SUM($I$272*'Materiálové hodnoty'!$E93*'Materiálové hodnoty'!L93*$K269)</f>
        <v>2.6462400000000006</v>
      </c>
    </row>
    <row r="270" spans="1:17" ht="12.75">
      <c r="A270" s="58"/>
      <c r="B270" s="50">
        <v>0</v>
      </c>
      <c r="C270" s="50">
        <v>0</v>
      </c>
      <c r="D270" s="64">
        <v>0</v>
      </c>
      <c r="E270" s="51">
        <v>1</v>
      </c>
      <c r="F270" s="50">
        <f>SUM(B270*C270*D270*E270)</f>
        <v>0</v>
      </c>
      <c r="G270" s="50">
        <v>0</v>
      </c>
      <c r="H270" s="50">
        <f>SUM(F270:G270)</f>
        <v>0</v>
      </c>
      <c r="K270" s="52">
        <v>0</v>
      </c>
      <c r="L270" s="33" t="str">
        <f>'Materiálové hodnoty'!B94</f>
        <v>Anhydridový poter</v>
      </c>
      <c r="O270" s="34">
        <f>SUM($I$272*'Materiálové hodnoty'!$E94*'Materiálové hodnoty'!J94*$K270)</f>
        <v>0</v>
      </c>
      <c r="P270" s="34">
        <f>SUM($I$272*'Materiálové hodnoty'!$E94*'Materiálové hodnoty'!K94*$K270)</f>
        <v>0</v>
      </c>
      <c r="Q270" s="34">
        <f>SUM($I$272*'Materiálové hodnoty'!$E94*'Materiálové hodnoty'!L94*$K270)</f>
        <v>0</v>
      </c>
    </row>
    <row r="271" spans="1:17" ht="12.75">
      <c r="A271" s="58"/>
      <c r="B271" s="50">
        <v>0</v>
      </c>
      <c r="C271" s="50">
        <v>0</v>
      </c>
      <c r="D271" s="64">
        <v>0</v>
      </c>
      <c r="E271" s="51">
        <v>1</v>
      </c>
      <c r="F271" s="50">
        <f>SUM(B271*C271*D271*E271)</f>
        <v>0</v>
      </c>
      <c r="G271" s="50">
        <v>0</v>
      </c>
      <c r="H271" s="50">
        <f>SUM(F271:G271)</f>
        <v>0</v>
      </c>
      <c r="K271" s="52">
        <v>0</v>
      </c>
      <c r="L271" s="33" t="str">
        <f>'Materiálové hodnoty'!B95</f>
        <v>Liaty asfaltový poter</v>
      </c>
      <c r="O271" s="34">
        <f>SUM($I$272*'Materiálové hodnoty'!$E95*'Materiálové hodnoty'!J95*$K271)</f>
        <v>0</v>
      </c>
      <c r="P271" s="34">
        <f>SUM($I$272*'Materiálové hodnoty'!$E95*'Materiálové hodnoty'!K95*$K271)</f>
        <v>0</v>
      </c>
      <c r="Q271" s="34">
        <f>SUM($I$272*'Materiálové hodnoty'!$E95*'Materiálové hodnoty'!L95*$K271)</f>
        <v>0</v>
      </c>
    </row>
    <row r="272" spans="1:17" ht="12.75">
      <c r="A272" s="58"/>
      <c r="B272" s="50">
        <v>134</v>
      </c>
      <c r="C272" s="50">
        <v>1</v>
      </c>
      <c r="D272" s="64">
        <v>0.05</v>
      </c>
      <c r="E272" s="51">
        <v>1</v>
      </c>
      <c r="F272" s="50">
        <f>SUM(B272*C272*D272*E272)</f>
        <v>6.7</v>
      </c>
      <c r="G272" s="50">
        <v>0</v>
      </c>
      <c r="H272" s="50">
        <f>SUM(F272:G272)</f>
        <v>6.7</v>
      </c>
      <c r="I272" s="31">
        <f>SUM(H267:H272)</f>
        <v>8.308</v>
      </c>
      <c r="J272" s="32" t="s">
        <v>31</v>
      </c>
      <c r="K272" s="52">
        <f>SUM(H272/I272)</f>
        <v>0.8064516129032259</v>
      </c>
      <c r="L272" s="33" t="str">
        <f>'Materiálové hodnoty'!B96</f>
        <v>Betónový poter</v>
      </c>
      <c r="O272" s="34">
        <f>SUM($I$272*'Materiálové hodnoty'!$E96*'Materiálové hodnoty'!J96*$K272)</f>
        <v>11792</v>
      </c>
      <c r="P272" s="34">
        <f>SUM($I$272*'Materiálové hodnoty'!$E96*'Materiálové hodnoty'!K96*$K272)</f>
        <v>1366.8000000000002</v>
      </c>
      <c r="Q272" s="34">
        <f>SUM($I$272*'Materiálové hodnoty'!$E96*'Materiálové hodnoty'!L96*$K272)</f>
        <v>3.6180000000000003</v>
      </c>
    </row>
    <row r="273" spans="4:11" ht="12.75">
      <c r="D273" s="65"/>
      <c r="K273" s="32"/>
    </row>
    <row r="274" spans="1:17" ht="12.75">
      <c r="A274" s="31" t="s">
        <v>95</v>
      </c>
      <c r="B274" s="47" t="s">
        <v>82</v>
      </c>
      <c r="C274" s="47" t="s">
        <v>61</v>
      </c>
      <c r="D274" s="47" t="s">
        <v>48</v>
      </c>
      <c r="E274" s="30" t="s">
        <v>26</v>
      </c>
      <c r="F274" s="47" t="s">
        <v>27</v>
      </c>
      <c r="G274" s="47" t="s">
        <v>28</v>
      </c>
      <c r="H274" s="47" t="s">
        <v>29</v>
      </c>
      <c r="I274" s="48" t="s">
        <v>30</v>
      </c>
      <c r="K274" s="52">
        <v>0</v>
      </c>
      <c r="L274" s="33" t="str">
        <f>'Materiálové hodnoty'!B80</f>
        <v>Konope Flachs? PE spevnené</v>
      </c>
      <c r="O274" s="34">
        <f>SUM($I$279*'Materiálové hodnoty'!$E80*'Materiálové hodnoty'!J80*$K274)</f>
        <v>0</v>
      </c>
      <c r="P274" s="34">
        <f>SUM($I$279*'Materiálové hodnoty'!$E80*'Materiálové hodnoty'!K80*$K274)</f>
        <v>0</v>
      </c>
      <c r="Q274" s="34">
        <f>SUM($I$279*'Materiálové hodnoty'!$E80*'Materiálové hodnoty'!L80*$K274)</f>
        <v>0</v>
      </c>
    </row>
    <row r="275" spans="2:17" ht="12.75">
      <c r="B275" s="50">
        <v>97</v>
      </c>
      <c r="C275" s="50">
        <v>1</v>
      </c>
      <c r="D275" s="64">
        <v>0.003</v>
      </c>
      <c r="E275" s="51">
        <v>1</v>
      </c>
      <c r="F275" s="50">
        <f>SUM(B275*C275*D275*E275)</f>
        <v>0.291</v>
      </c>
      <c r="G275" s="50">
        <v>0</v>
      </c>
      <c r="H275" s="50">
        <f>SUM(F275:G275)</f>
        <v>0.291</v>
      </c>
      <c r="I275"/>
      <c r="J275"/>
      <c r="K275" s="52">
        <f>SUM(H276/I279)</f>
        <v>0.9428403064230996</v>
      </c>
      <c r="L275" s="33" t="str">
        <f>'Materiálové hodnoty'!B81</f>
        <v>Sklená vata</v>
      </c>
      <c r="O275" s="34">
        <f>SUM($I$279*'Materiálové hodnoty'!$E81*'Materiálové hodnoty'!J81*$K275)</f>
        <v>16254.719999999998</v>
      </c>
      <c r="P275" s="34">
        <f>SUM($I$279*'Materiálové hodnoty'!$E81*'Materiálové hodnoty'!K81*$K275)</f>
        <v>737.664</v>
      </c>
      <c r="Q275" s="34">
        <f>SUM($I$279*'Materiálové hodnoty'!$E81*'Materiálové hodnoty'!L81*$K275)</f>
        <v>5.2223999999999995</v>
      </c>
    </row>
    <row r="276" spans="2:17" ht="12.75">
      <c r="B276" s="50">
        <v>60</v>
      </c>
      <c r="C276" s="50">
        <v>1</v>
      </c>
      <c r="D276" s="64">
        <v>0.08</v>
      </c>
      <c r="E276" s="51">
        <v>1</v>
      </c>
      <c r="F276" s="50">
        <f>SUM(B276*C276*D276*E276)</f>
        <v>4.8</v>
      </c>
      <c r="G276" s="50">
        <v>0</v>
      </c>
      <c r="H276" s="50">
        <f>SUM(F276:G276)</f>
        <v>4.8</v>
      </c>
      <c r="K276" s="52">
        <v>0</v>
      </c>
      <c r="L276" s="33" t="str">
        <f>'Materiálové hodnoty'!B82</f>
        <v>Kamenná vlna</v>
      </c>
      <c r="O276" s="34">
        <f>SUM($I$279*'Materiálové hodnoty'!$E82*'Materiálové hodnoty'!J82*$K276)</f>
        <v>0</v>
      </c>
      <c r="P276" s="34">
        <f>SUM($I$279*'Materiálové hodnoty'!$E82*'Materiálové hodnoty'!K82*$K276)</f>
        <v>0</v>
      </c>
      <c r="Q276" s="34">
        <f>SUM($I$279*'Materiálové hodnoty'!$E82*'Materiálové hodnoty'!L82*$K276)</f>
        <v>0</v>
      </c>
    </row>
    <row r="277" spans="2:17" ht="12.75">
      <c r="B277" s="50">
        <v>0</v>
      </c>
      <c r="C277" s="50">
        <v>0</v>
      </c>
      <c r="D277" s="64">
        <v>0</v>
      </c>
      <c r="E277" s="51">
        <v>1</v>
      </c>
      <c r="F277" s="50">
        <f>SUM(B277*C277*D277*E277)</f>
        <v>0</v>
      </c>
      <c r="G277" s="50">
        <v>0</v>
      </c>
      <c r="H277" s="50">
        <f>SUM(F277:G277)</f>
        <v>0</v>
      </c>
      <c r="K277" s="52">
        <v>0</v>
      </c>
      <c r="L277" s="33" t="str">
        <f>'Materiálové hodnoty'!B83</f>
        <v>Drevovláknitá doska</v>
      </c>
      <c r="O277" s="34">
        <f>SUM($I$279*'Materiálové hodnoty'!$E83*'Materiálové hodnoty'!J83*$K277)</f>
        <v>0</v>
      </c>
      <c r="P277" s="34">
        <f>SUM($I$279*'Materiálové hodnoty'!$E83*'Materiálové hodnoty'!K83*$K277)</f>
        <v>0</v>
      </c>
      <c r="Q277" s="34">
        <f>SUM($I$279*'Materiálové hodnoty'!$E83*'Materiálové hodnoty'!L83*$K277)</f>
        <v>0</v>
      </c>
    </row>
    <row r="278" spans="2:17" ht="12.75">
      <c r="B278" s="50">
        <v>0</v>
      </c>
      <c r="C278" s="50">
        <v>0</v>
      </c>
      <c r="D278" s="64">
        <v>0</v>
      </c>
      <c r="E278" s="51">
        <v>1</v>
      </c>
      <c r="F278" s="50">
        <f>SUM(B278*C278*D278*E278)</f>
        <v>0</v>
      </c>
      <c r="G278" s="50">
        <v>0</v>
      </c>
      <c r="H278" s="50">
        <f>SUM(F278:G278)</f>
        <v>0</v>
      </c>
      <c r="K278" s="52">
        <f>SUM(H275/I279)</f>
        <v>0.05715969357690041</v>
      </c>
      <c r="L278" s="33" t="str">
        <f>'Materiálové hodnoty'!B84</f>
        <v>PE mäkká pena</v>
      </c>
      <c r="O278" s="34">
        <f>SUM($I$279*'Materiálové hodnoty'!$E84*'Materiálové hodnoty'!J84*$K278)</f>
        <v>790.5305999999999</v>
      </c>
      <c r="P278" s="34">
        <f>SUM($I$279*'Materiálové hodnoty'!$E84*'Materiálové hodnoty'!K84*$K278)</f>
        <v>20.480579999999996</v>
      </c>
      <c r="Q278" s="34">
        <f>SUM($I$279*'Materiálové hodnoty'!$E84*'Materiálové hodnoty'!L84*$K278)</f>
        <v>0.1454418</v>
      </c>
    </row>
    <row r="279" spans="2:17" ht="12.75">
      <c r="B279" s="50">
        <v>0</v>
      </c>
      <c r="C279" s="50">
        <v>0</v>
      </c>
      <c r="D279" s="64">
        <v>0</v>
      </c>
      <c r="E279" s="51">
        <v>1</v>
      </c>
      <c r="F279" s="50">
        <f>SUM(B279*C279*D279*E279)</f>
        <v>0</v>
      </c>
      <c r="G279" s="50">
        <v>0</v>
      </c>
      <c r="H279" s="50">
        <f>SUM(F279:G279)</f>
        <v>0</v>
      </c>
      <c r="I279" s="31">
        <f>SUM(H275:H279)</f>
        <v>5.091</v>
      </c>
      <c r="J279" s="32" t="s">
        <v>31</v>
      </c>
      <c r="K279" s="52">
        <v>0</v>
      </c>
      <c r="L279" s="33" t="str">
        <f>'Materiálové hodnoty'!B85</f>
        <v>Korok</v>
      </c>
      <c r="O279" s="34">
        <f>SUM($I$279*'Materiálové hodnoty'!$E85*'Materiálové hodnoty'!J85*$K279)</f>
        <v>0</v>
      </c>
      <c r="P279" s="34">
        <f>SUM($I$279*'Materiálové hodnoty'!$E85*'Materiálové hodnoty'!K85*$K279)</f>
        <v>0</v>
      </c>
      <c r="Q279" s="34">
        <f>SUM($I$279*'Materiálové hodnoty'!$E85*'Materiálové hodnoty'!L85*$K279)</f>
        <v>0</v>
      </c>
    </row>
    <row r="280" spans="4:11" ht="12.75">
      <c r="D280" s="65"/>
      <c r="K280" s="32"/>
    </row>
    <row r="281" spans="1:17" ht="12.75">
      <c r="A281" s="31" t="s">
        <v>54</v>
      </c>
      <c r="B281" s="47" t="s">
        <v>82</v>
      </c>
      <c r="C281" s="47" t="s">
        <v>61</v>
      </c>
      <c r="D281" s="47" t="s">
        <v>48</v>
      </c>
      <c r="E281" s="30" t="s">
        <v>26</v>
      </c>
      <c r="F281" s="47" t="s">
        <v>27</v>
      </c>
      <c r="G281" s="47" t="s">
        <v>28</v>
      </c>
      <c r="H281" s="47" t="s">
        <v>29</v>
      </c>
      <c r="I281" s="48" t="s">
        <v>30</v>
      </c>
      <c r="K281" s="52">
        <v>0</v>
      </c>
      <c r="L281" s="33" t="str">
        <f>'Materiálové hodnoty'!B99</f>
        <v>Sadrokartón protipožiarny</v>
      </c>
      <c r="O281" s="34">
        <f>SUM($I$294*'Materiálové hodnoty'!$E99*'Materiálové hodnoty'!J99*$K281)</f>
        <v>0</v>
      </c>
      <c r="P281" s="34">
        <f>SUM($I$294*'Materiálové hodnoty'!$E99*'Materiálové hodnoty'!K99*$K281)</f>
        <v>0</v>
      </c>
      <c r="Q281" s="34">
        <f>SUM($I$294*'Materiálové hodnoty'!$E99*'Materiálové hodnoty'!L99*$K281)</f>
        <v>0</v>
      </c>
    </row>
    <row r="282" spans="11:17" ht="12.75">
      <c r="K282" s="52">
        <v>0</v>
      </c>
      <c r="L282" s="33" t="str">
        <f>'Materiálové hodnoty'!B100</f>
        <v>Sadrokartón</v>
      </c>
      <c r="O282" s="34">
        <f>SUM($I$294*'Materiálové hodnoty'!$E100*'Materiálové hodnoty'!J100*$K282)</f>
        <v>0</v>
      </c>
      <c r="P282" s="34">
        <f>SUM($I$294*'Materiálové hodnoty'!$E100*'Materiálové hodnoty'!K100*$K282)</f>
        <v>0</v>
      </c>
      <c r="Q282" s="34">
        <f>SUM($I$294*'Materiálové hodnoty'!$E100*'Materiálové hodnoty'!L100*$K282)</f>
        <v>0</v>
      </c>
    </row>
    <row r="283" spans="11:17" ht="12.75">
      <c r="K283" s="52">
        <v>0</v>
      </c>
      <c r="L283" s="33" t="str">
        <f>'Materiálové hodnoty'!B101</f>
        <v>Sadrovláknitá doska</v>
      </c>
      <c r="O283" s="34">
        <f>SUM($I$294*'Materiálové hodnoty'!$E101*'Materiálové hodnoty'!J101*$K283)</f>
        <v>0</v>
      </c>
      <c r="P283" s="34">
        <f>SUM($I$294*'Materiálové hodnoty'!$E101*'Materiálové hodnoty'!K101*$K283)</f>
        <v>0</v>
      </c>
      <c r="Q283" s="34">
        <f>SUM($I$294*'Materiálové hodnoty'!$E101*'Materiálové hodnoty'!L101*$K283)</f>
        <v>0</v>
      </c>
    </row>
    <row r="284" spans="2:17" ht="12.75">
      <c r="B284" s="50">
        <v>426</v>
      </c>
      <c r="C284" s="50">
        <v>1</v>
      </c>
      <c r="D284" s="64">
        <v>0.015</v>
      </c>
      <c r="E284" s="51">
        <v>1</v>
      </c>
      <c r="F284" s="50">
        <f>SUM(B284*C284*D284*E284)</f>
        <v>6.39</v>
      </c>
      <c r="G284" s="50">
        <v>0</v>
      </c>
      <c r="H284" s="50">
        <f>SUM(F284:G284)</f>
        <v>6.39</v>
      </c>
      <c r="I284"/>
      <c r="J284"/>
      <c r="K284" s="52">
        <v>0</v>
      </c>
      <c r="L284" s="33" t="str">
        <f>'Materiálové hodnoty'!B102</f>
        <v>Anhydridová omietka</v>
      </c>
      <c r="O284" s="34">
        <f>SUM($I$294*'Materiálové hodnoty'!$E102*'Materiálové hodnoty'!J102*$K284)</f>
        <v>0</v>
      </c>
      <c r="P284" s="34">
        <f>SUM($I$294*'Materiálové hodnoty'!$E102*'Materiálové hodnoty'!K102*$K284)</f>
        <v>0</v>
      </c>
      <c r="Q284" s="34">
        <f>SUM($I$294*'Materiálové hodnoty'!$E102*'Materiálové hodnoty'!L102*$K284)</f>
        <v>0</v>
      </c>
    </row>
    <row r="285" spans="2:17" ht="12.75">
      <c r="B285" s="50">
        <v>426</v>
      </c>
      <c r="C285" s="50">
        <v>1</v>
      </c>
      <c r="D285" s="64">
        <v>0.002</v>
      </c>
      <c r="E285" s="51">
        <v>1</v>
      </c>
      <c r="F285" s="50">
        <f>SUM(B285*C285*D285*E285)</f>
        <v>0.852</v>
      </c>
      <c r="G285" s="50">
        <v>0</v>
      </c>
      <c r="H285" s="50">
        <f>SUM(F285:G285)</f>
        <v>0.852</v>
      </c>
      <c r="I285"/>
      <c r="J285"/>
      <c r="K285" s="52">
        <v>0</v>
      </c>
      <c r="L285" s="33" t="str">
        <f>'Materiálové hodnoty'!B103</f>
        <v>Vápenná omietka</v>
      </c>
      <c r="O285" s="34">
        <f>SUM($I$294*'Materiálové hodnoty'!$E103*'Materiálové hodnoty'!J103*$K285)</f>
        <v>0</v>
      </c>
      <c r="P285" s="34">
        <f>SUM($I$294*'Materiálové hodnoty'!$E103*'Materiálové hodnoty'!K103*$K285)</f>
        <v>0</v>
      </c>
      <c r="Q285" s="34">
        <f>SUM($I$294*'Materiálové hodnoty'!$E103*'Materiálové hodnoty'!L103*$K285)</f>
        <v>0</v>
      </c>
    </row>
    <row r="286" spans="2:17" ht="12.75">
      <c r="B286" s="50">
        <v>0</v>
      </c>
      <c r="C286" s="50">
        <v>0</v>
      </c>
      <c r="D286" s="64">
        <v>0</v>
      </c>
      <c r="E286" s="51">
        <v>1</v>
      </c>
      <c r="F286" s="50">
        <f>SUM(B286*C286*D286*E286)</f>
        <v>0</v>
      </c>
      <c r="G286" s="50">
        <v>0</v>
      </c>
      <c r="H286" s="50">
        <f>SUM(F286:G286)</f>
        <v>0</v>
      </c>
      <c r="I286"/>
      <c r="J286"/>
      <c r="K286" s="52">
        <v>0</v>
      </c>
      <c r="L286" s="33" t="str">
        <f>'Materiálové hodnoty'!B104</f>
        <v>Trass vápenná omietka</v>
      </c>
      <c r="O286" s="34">
        <f>SUM($I$294*'Materiálové hodnoty'!$E104*'Materiálové hodnoty'!J104*$K286)</f>
        <v>0</v>
      </c>
      <c r="P286" s="34">
        <f>SUM($I$294*'Materiálové hodnoty'!$E104*'Materiálové hodnoty'!K104*$K286)</f>
        <v>0</v>
      </c>
      <c r="Q286" s="34">
        <f>SUM($I$294*'Materiálové hodnoty'!$E104*'Materiálové hodnoty'!L104*$K286)</f>
        <v>0</v>
      </c>
    </row>
    <row r="287" spans="2:17" ht="12.75">
      <c r="B287" s="50">
        <v>0</v>
      </c>
      <c r="C287" s="50">
        <v>0</v>
      </c>
      <c r="D287" s="64">
        <v>0</v>
      </c>
      <c r="E287" s="51">
        <v>1</v>
      </c>
      <c r="F287" s="50">
        <f>SUM(B287*C287*D287*E287)</f>
        <v>0</v>
      </c>
      <c r="G287" s="50">
        <v>0</v>
      </c>
      <c r="H287" s="50">
        <f>SUM(F287:G287)</f>
        <v>0</v>
      </c>
      <c r="I287"/>
      <c r="J287"/>
      <c r="K287" s="52">
        <f>SUM(H284/I294)</f>
        <v>0.8823529411764706</v>
      </c>
      <c r="L287" s="33" t="str">
        <f>'Materiálové hodnoty'!B105</f>
        <v>Vápennocementové omietky</v>
      </c>
      <c r="O287" s="34">
        <f>SUM($I$294*'Materiálové hodnoty'!$E105*'Materiálové hodnoty'!J105*$K287)</f>
        <v>17943.12</v>
      </c>
      <c r="P287" s="34">
        <f>SUM($I$294*'Materiálové hodnoty'!$E105*'Materiálové hodnoty'!K105*$K287)</f>
        <v>1759.8059999999998</v>
      </c>
      <c r="Q287" s="34">
        <f>SUM($I$294*'Materiálové hodnoty'!$E105*'Materiálové hodnoty'!L105*$K287)</f>
        <v>6.441120000000001</v>
      </c>
    </row>
    <row r="288" spans="2:17" ht="12.75">
      <c r="B288" s="50">
        <v>0</v>
      </c>
      <c r="C288" s="50">
        <v>0</v>
      </c>
      <c r="D288" s="64">
        <v>0</v>
      </c>
      <c r="E288" s="51">
        <v>1</v>
      </c>
      <c r="F288" s="50">
        <f>SUM(B288*C288*D288*E288)</f>
        <v>0</v>
      </c>
      <c r="G288" s="50">
        <v>0</v>
      </c>
      <c r="H288" s="50">
        <f>SUM(F288:G288)</f>
        <v>0</v>
      </c>
      <c r="I288"/>
      <c r="J288"/>
      <c r="K288" s="52">
        <v>0</v>
      </c>
      <c r="L288" s="33" t="str">
        <f>'Materiálové hodnoty'!B106</f>
        <v>Vápenno-sadrové omietky</v>
      </c>
      <c r="O288" s="34">
        <f>SUM($I$294*'Materiálové hodnoty'!$E106*'Materiálové hodnoty'!J106*$K288)</f>
        <v>0</v>
      </c>
      <c r="P288" s="34">
        <f>SUM($I$294*'Materiálové hodnoty'!$E106*'Materiálové hodnoty'!K106*$K288)</f>
        <v>0</v>
      </c>
      <c r="Q288" s="34">
        <f>SUM($I$294*'Materiálové hodnoty'!$E106*'Materiálové hodnoty'!L106*$K288)</f>
        <v>0</v>
      </c>
    </row>
    <row r="289" spans="2:17" ht="12.75">
      <c r="B289" s="50">
        <v>0</v>
      </c>
      <c r="C289" s="50">
        <v>0</v>
      </c>
      <c r="D289" s="64">
        <v>0</v>
      </c>
      <c r="E289" s="51">
        <v>1</v>
      </c>
      <c r="F289" s="50">
        <f>SUM(B289*C289*D289*E289)</f>
        <v>0</v>
      </c>
      <c r="G289" s="50">
        <v>0</v>
      </c>
      <c r="H289" s="50">
        <f>SUM(F289:G289)</f>
        <v>0</v>
      </c>
      <c r="K289" s="52">
        <v>0</v>
      </c>
      <c r="L289" s="33" t="str">
        <f>'Materiálové hodnoty'!B107</f>
        <v>Sadrové omietky</v>
      </c>
      <c r="O289" s="34">
        <f>SUM($I$294*'Materiálové hodnoty'!$E107*'Materiálové hodnoty'!J107*$K289)</f>
        <v>0</v>
      </c>
      <c r="P289" s="34">
        <f>SUM($I$294*'Materiálové hodnoty'!$E107*'Materiálové hodnoty'!K107*$K289)</f>
        <v>0</v>
      </c>
      <c r="Q289" s="34">
        <f>SUM($I$294*'Materiálové hodnoty'!$E107*'Materiálové hodnoty'!L107*$K289)</f>
        <v>0</v>
      </c>
    </row>
    <row r="290" spans="2:17" ht="12.75">
      <c r="B290" s="50">
        <v>0</v>
      </c>
      <c r="C290" s="50">
        <v>0</v>
      </c>
      <c r="D290" s="64">
        <v>0</v>
      </c>
      <c r="E290" s="51">
        <v>1</v>
      </c>
      <c r="F290" s="50">
        <f>SUM(B290*C290*D290*E290)</f>
        <v>0</v>
      </c>
      <c r="G290" s="50">
        <v>0</v>
      </c>
      <c r="H290" s="50">
        <f>SUM(F290:G290)</f>
        <v>0</v>
      </c>
      <c r="I290"/>
      <c r="J290"/>
      <c r="K290" s="52">
        <v>0</v>
      </c>
      <c r="L290" s="33" t="str">
        <f>'Materiálové hodnoty'!B108</f>
        <v>Hlinené omietky</v>
      </c>
      <c r="O290" s="34">
        <f>SUM($I$294*'Materiálové hodnoty'!$E108*'Materiálové hodnoty'!J108*$K290)</f>
        <v>0</v>
      </c>
      <c r="P290" s="34">
        <f>SUM($I$294*'Materiálové hodnoty'!$E108*'Materiálové hodnoty'!K108*$K290)</f>
        <v>0</v>
      </c>
      <c r="Q290" s="34">
        <f>SUM($I$294*'Materiálové hodnoty'!$E108*'Materiálové hodnoty'!L108*$K290)</f>
        <v>0</v>
      </c>
    </row>
    <row r="291" spans="2:17" ht="12.75">
      <c r="B291" s="50">
        <v>0</v>
      </c>
      <c r="C291" s="50">
        <v>0</v>
      </c>
      <c r="D291" s="64">
        <v>0</v>
      </c>
      <c r="E291" s="51">
        <v>1</v>
      </c>
      <c r="F291" s="50">
        <f>SUM(B291*C291*D291*E291)</f>
        <v>0</v>
      </c>
      <c r="G291" s="50">
        <v>0</v>
      </c>
      <c r="H291" s="50">
        <f>SUM(F291:G291)</f>
        <v>0</v>
      </c>
      <c r="K291" s="52">
        <f>SUM(H285/I294)</f>
        <v>0.11764705882352941</v>
      </c>
      <c r="L291" s="33" t="str">
        <f>'Materiálové hodnoty'!B109</f>
        <v>Cementový prednástrek</v>
      </c>
      <c r="O291" s="34">
        <f>SUM($I$294*'Materiálové hodnoty'!$E109*'Materiálové hodnoty'!J109*$K291)</f>
        <v>4055.5199999999995</v>
      </c>
      <c r="P291" s="34">
        <f>SUM($I$294*'Materiálové hodnoty'!$E109*'Materiálové hodnoty'!K109*$K291)</f>
        <v>426.00000000000006</v>
      </c>
      <c r="Q291" s="34">
        <f>SUM($I$294*'Materiálové hodnoty'!$E109*'Materiálové hodnoty'!L109*$K291)</f>
        <v>1.60176</v>
      </c>
    </row>
    <row r="292" spans="2:17" ht="12.75">
      <c r="B292" s="50">
        <v>0</v>
      </c>
      <c r="C292" s="50">
        <v>0</v>
      </c>
      <c r="D292" s="64">
        <v>0</v>
      </c>
      <c r="E292" s="51">
        <v>1</v>
      </c>
      <c r="F292" s="50">
        <f>SUM(B292*C292*D292*E292)</f>
        <v>0</v>
      </c>
      <c r="G292" s="50">
        <v>0</v>
      </c>
      <c r="H292" s="50">
        <f>SUM(F292:G292)</f>
        <v>0</v>
      </c>
      <c r="K292" s="52">
        <v>0</v>
      </c>
      <c r="L292" s="33" t="str">
        <f>'Materiálové hodnoty'!B110</f>
        <v>Trass-vápenný prednástrek</v>
      </c>
      <c r="O292" s="34">
        <f>SUM($I$294*'Materiálové hodnoty'!$E110*'Materiálové hodnoty'!J110*$K292)</f>
        <v>0</v>
      </c>
      <c r="P292" s="34">
        <f>SUM($I$294*'Materiálové hodnoty'!$E110*'Materiálové hodnoty'!K110*$K292)</f>
        <v>0</v>
      </c>
      <c r="Q292" s="34">
        <f>SUM($I$294*'Materiálové hodnoty'!$E110*'Materiálové hodnoty'!L110*$K292)</f>
        <v>0</v>
      </c>
    </row>
    <row r="293" spans="2:17" ht="12.75">
      <c r="B293" s="50">
        <v>0</v>
      </c>
      <c r="C293" s="50">
        <v>0</v>
      </c>
      <c r="D293" s="64">
        <v>0</v>
      </c>
      <c r="E293" s="51">
        <v>1</v>
      </c>
      <c r="F293" s="50">
        <f>SUM(B293*C293*D293*E293)</f>
        <v>0</v>
      </c>
      <c r="G293" s="50">
        <v>0</v>
      </c>
      <c r="H293" s="50">
        <f>SUM(F293:G293)</f>
        <v>0</v>
      </c>
      <c r="K293" s="52">
        <v>0</v>
      </c>
      <c r="L293" s="33" t="str">
        <f>'Materiálové hodnoty'!B111</f>
        <v>Priľnavostný nástrek 2mm</v>
      </c>
      <c r="O293" s="34">
        <f>SUM($I$294*'Materiálové hodnoty'!$E111*'Materiálové hodnoty'!J111*$K293)</f>
        <v>0</v>
      </c>
      <c r="P293" s="34">
        <f>SUM($I$294*'Materiálové hodnoty'!$E111*'Materiálové hodnoty'!K111*$K293)</f>
        <v>0</v>
      </c>
      <c r="Q293" s="34">
        <f>SUM($I$294*'Materiálové hodnoty'!$E111*'Materiálové hodnoty'!L111*$K293)</f>
        <v>0</v>
      </c>
    </row>
    <row r="294" spans="2:17" ht="12.75">
      <c r="B294" s="50">
        <v>0</v>
      </c>
      <c r="C294" s="50">
        <v>0</v>
      </c>
      <c r="D294" s="64">
        <v>0</v>
      </c>
      <c r="E294" s="51">
        <v>1</v>
      </c>
      <c r="F294" s="50">
        <f>SUM(B294*C294*D294*E294)</f>
        <v>0</v>
      </c>
      <c r="G294" s="50">
        <v>0</v>
      </c>
      <c r="H294" s="50">
        <f>SUM(F294:G294)</f>
        <v>0</v>
      </c>
      <c r="I294" s="31">
        <f>SUM(H284:H294)</f>
        <v>7.242</v>
      </c>
      <c r="J294" s="32" t="s">
        <v>31</v>
      </c>
      <c r="K294" s="52">
        <v>0</v>
      </c>
      <c r="L294" s="33" t="str">
        <f>'Materiálové hodnoty'!B112</f>
        <v>Disperzia vodouriediteľná</v>
      </c>
      <c r="O294" s="34">
        <f>SUM($I$294*'Materiálové hodnoty'!$E112*'Materiálové hodnoty'!J112*$K294)</f>
        <v>0</v>
      </c>
      <c r="P294" s="34">
        <f>SUM($I$294*'Materiálové hodnoty'!$E112*'Materiálové hodnoty'!K112*$K294)</f>
        <v>0</v>
      </c>
      <c r="Q294" s="34">
        <f>SUM($I$294*'Materiálové hodnoty'!$E112*'Materiálové hodnoty'!L112*$K294)</f>
        <v>0</v>
      </c>
    </row>
    <row r="296" spans="1:17" ht="12.75">
      <c r="A296" s="31" t="s">
        <v>96</v>
      </c>
      <c r="B296" s="47" t="s">
        <v>82</v>
      </c>
      <c r="C296" s="47" t="s">
        <v>61</v>
      </c>
      <c r="D296" s="47" t="s">
        <v>48</v>
      </c>
      <c r="E296" s="30" t="s">
        <v>26</v>
      </c>
      <c r="F296" s="47" t="s">
        <v>27</v>
      </c>
      <c r="G296" s="47" t="s">
        <v>28</v>
      </c>
      <c r="H296" s="47" t="s">
        <v>29</v>
      </c>
      <c r="I296" s="48" t="s">
        <v>30</v>
      </c>
      <c r="K296" s="52">
        <v>0</v>
      </c>
      <c r="L296" s="33" t="str">
        <f>'Materiálové hodnoty'!B99</f>
        <v>Sadrokartón protipožiarny</v>
      </c>
      <c r="O296" s="34">
        <f>SUM($I$309*'Materiálové hodnoty'!$E99*'Materiálové hodnoty'!J99*$K296)</f>
        <v>0</v>
      </c>
      <c r="P296" s="34">
        <f>SUM($I$309*'Materiálové hodnoty'!$E99*'Materiálové hodnoty'!K99*$K296)</f>
        <v>0</v>
      </c>
      <c r="Q296" s="34">
        <f>SUM($I$309*'Materiálové hodnoty'!$E99*'Materiálové hodnoty'!L99*$K296)</f>
        <v>0</v>
      </c>
    </row>
    <row r="297" spans="11:17" ht="12.75">
      <c r="K297" s="52">
        <v>0</v>
      </c>
      <c r="L297" s="33" t="str">
        <f>'Materiálové hodnoty'!B100</f>
        <v>Sadrokartón</v>
      </c>
      <c r="O297" s="34">
        <f>SUM($I$309*'Materiálové hodnoty'!$E100*'Materiálové hodnoty'!J100*$K297)</f>
        <v>0</v>
      </c>
      <c r="P297" s="34">
        <f>SUM($I$309*'Materiálové hodnoty'!$E100*'Materiálové hodnoty'!K100*$K297)</f>
        <v>0</v>
      </c>
      <c r="Q297" s="34">
        <f>SUM($I$309*'Materiálové hodnoty'!$E100*'Materiálové hodnoty'!L100*$K297)</f>
        <v>0</v>
      </c>
    </row>
    <row r="298" spans="11:17" ht="12.75">
      <c r="K298" s="52">
        <v>0</v>
      </c>
      <c r="L298" s="33" t="str">
        <f>'Materiálové hodnoty'!B101</f>
        <v>Sadrovláknitá doska</v>
      </c>
      <c r="O298" s="34">
        <f>SUM($I$309*'Materiálové hodnoty'!$E101*'Materiálové hodnoty'!J101*$K298)</f>
        <v>0</v>
      </c>
      <c r="P298" s="34">
        <f>SUM($I$309*'Materiálové hodnoty'!$E101*'Materiálové hodnoty'!K101*$K298)</f>
        <v>0</v>
      </c>
      <c r="Q298" s="34">
        <f>SUM($I$309*'Materiálové hodnoty'!$E101*'Materiálové hodnoty'!L101*$K298)</f>
        <v>0</v>
      </c>
    </row>
    <row r="299" spans="2:17" ht="12.75">
      <c r="B299" s="50">
        <v>167</v>
      </c>
      <c r="C299" s="50">
        <v>1</v>
      </c>
      <c r="D299" s="64">
        <v>0.015</v>
      </c>
      <c r="E299" s="51">
        <v>1</v>
      </c>
      <c r="F299" s="50">
        <f>SUM(B299*C299*D299*E299)</f>
        <v>2.505</v>
      </c>
      <c r="G299" s="50">
        <v>0</v>
      </c>
      <c r="H299" s="50">
        <f>SUM(F299:G299)</f>
        <v>2.505</v>
      </c>
      <c r="I299"/>
      <c r="J299"/>
      <c r="K299" s="52">
        <v>0</v>
      </c>
      <c r="L299" s="33" t="str">
        <f>'Materiálové hodnoty'!B102</f>
        <v>Anhydridová omietka</v>
      </c>
      <c r="O299" s="34">
        <f>SUM($I$309*'Materiálové hodnoty'!$E102*'Materiálové hodnoty'!J102*$K299)</f>
        <v>0</v>
      </c>
      <c r="P299" s="34">
        <f>SUM($I$309*'Materiálové hodnoty'!$E102*'Materiálové hodnoty'!K102*$K299)</f>
        <v>0</v>
      </c>
      <c r="Q299" s="34">
        <f>SUM($I$309*'Materiálové hodnoty'!$E102*'Materiálové hodnoty'!L102*$K299)</f>
        <v>0</v>
      </c>
    </row>
    <row r="300" spans="2:17" ht="12.75">
      <c r="B300" s="50">
        <v>167</v>
      </c>
      <c r="C300" s="50">
        <v>1</v>
      </c>
      <c r="D300" s="64">
        <v>0.002</v>
      </c>
      <c r="E300" s="51">
        <v>1</v>
      </c>
      <c r="F300" s="50">
        <f>SUM(B300*C300*D300*E300)</f>
        <v>0.334</v>
      </c>
      <c r="G300" s="50">
        <v>0</v>
      </c>
      <c r="H300" s="50">
        <f>SUM(F300:G300)</f>
        <v>0.334</v>
      </c>
      <c r="I300"/>
      <c r="J300"/>
      <c r="K300" s="52">
        <v>0</v>
      </c>
      <c r="L300" s="33" t="str">
        <f>'Materiálové hodnoty'!B103</f>
        <v>Vápenná omietka</v>
      </c>
      <c r="O300" s="34">
        <f>SUM($I$309*'Materiálové hodnoty'!$E103*'Materiálové hodnoty'!J103*$K300)</f>
        <v>0</v>
      </c>
      <c r="P300" s="34">
        <f>SUM($I$309*'Materiálové hodnoty'!$E103*'Materiálové hodnoty'!K103*$K300)</f>
        <v>0</v>
      </c>
      <c r="Q300" s="34">
        <f>SUM($I$309*'Materiálové hodnoty'!$E103*'Materiálové hodnoty'!L103*$K300)</f>
        <v>0</v>
      </c>
    </row>
    <row r="301" spans="2:17" ht="12.75">
      <c r="B301" s="50">
        <v>0</v>
      </c>
      <c r="C301" s="50">
        <v>0</v>
      </c>
      <c r="D301" s="64">
        <v>0</v>
      </c>
      <c r="E301" s="51">
        <v>1</v>
      </c>
      <c r="F301" s="50">
        <f>SUM(B301*C301*D301*E301)</f>
        <v>0</v>
      </c>
      <c r="G301" s="50">
        <v>0</v>
      </c>
      <c r="H301" s="50">
        <f>SUM(F301:G301)</f>
        <v>0</v>
      </c>
      <c r="I301"/>
      <c r="J301"/>
      <c r="K301" s="52">
        <v>0</v>
      </c>
      <c r="L301" s="33" t="str">
        <f>'Materiálové hodnoty'!B104</f>
        <v>Trass vápenná omietka</v>
      </c>
      <c r="O301" s="34">
        <f>SUM($I$309*'Materiálové hodnoty'!$E104*'Materiálové hodnoty'!J104*$K301)</f>
        <v>0</v>
      </c>
      <c r="P301" s="34">
        <f>SUM($I$309*'Materiálové hodnoty'!$E104*'Materiálové hodnoty'!K104*$K301)</f>
        <v>0</v>
      </c>
      <c r="Q301" s="34">
        <f>SUM($I$309*'Materiálové hodnoty'!$E104*'Materiálové hodnoty'!L104*$K301)</f>
        <v>0</v>
      </c>
    </row>
    <row r="302" spans="2:17" ht="12.75">
      <c r="B302" s="50">
        <v>0</v>
      </c>
      <c r="C302" s="50">
        <v>0</v>
      </c>
      <c r="D302" s="64">
        <v>0</v>
      </c>
      <c r="E302" s="51">
        <v>1</v>
      </c>
      <c r="F302" s="50">
        <f>SUM(B302*C302*D302*E302)</f>
        <v>0</v>
      </c>
      <c r="G302" s="50">
        <v>0</v>
      </c>
      <c r="H302" s="50">
        <f>SUM(F302:G302)</f>
        <v>0</v>
      </c>
      <c r="I302"/>
      <c r="J302"/>
      <c r="K302" s="52">
        <f>SUM(H299/I309)</f>
        <v>0.8823529411764706</v>
      </c>
      <c r="L302" s="33" t="str">
        <f>'Materiálové hodnoty'!B105</f>
        <v>Vápennocementové omietky</v>
      </c>
      <c r="O302" s="34">
        <f>SUM($I$309*'Materiálové hodnoty'!$E105*'Materiálové hodnoty'!J105*$K302)</f>
        <v>7034.04</v>
      </c>
      <c r="P302" s="34">
        <f>SUM($I$309*'Materiálové hodnoty'!$E105*'Materiálové hodnoty'!K105*$K302)</f>
        <v>689.877</v>
      </c>
      <c r="Q302" s="34">
        <f>SUM($I$309*'Materiálové hodnoty'!$E105*'Materiálové hodnoty'!L105*$K302)</f>
        <v>2.52504</v>
      </c>
    </row>
    <row r="303" spans="2:17" ht="12.75">
      <c r="B303" s="50">
        <v>0</v>
      </c>
      <c r="C303" s="50">
        <v>0</v>
      </c>
      <c r="D303" s="64">
        <v>0</v>
      </c>
      <c r="E303" s="51">
        <v>1</v>
      </c>
      <c r="F303" s="50">
        <f>SUM(B303*C303*D303*E303)</f>
        <v>0</v>
      </c>
      <c r="G303" s="50">
        <v>0</v>
      </c>
      <c r="H303" s="50">
        <f>SUM(F303:G303)</f>
        <v>0</v>
      </c>
      <c r="I303"/>
      <c r="J303"/>
      <c r="K303" s="52">
        <v>0</v>
      </c>
      <c r="L303" s="33" t="str">
        <f>'Materiálové hodnoty'!B106</f>
        <v>Vápenno-sadrové omietky</v>
      </c>
      <c r="O303" s="34">
        <f>SUM($I$309*'Materiálové hodnoty'!$E106*'Materiálové hodnoty'!J106*$K303)</f>
        <v>0</v>
      </c>
      <c r="P303" s="34">
        <f>SUM($I$309*'Materiálové hodnoty'!$E106*'Materiálové hodnoty'!K106*$K303)</f>
        <v>0</v>
      </c>
      <c r="Q303" s="34">
        <f>SUM($I$309*'Materiálové hodnoty'!$E106*'Materiálové hodnoty'!L106*$K303)</f>
        <v>0</v>
      </c>
    </row>
    <row r="304" spans="2:17" ht="12.75">
      <c r="B304" s="50">
        <v>0</v>
      </c>
      <c r="C304" s="50">
        <v>0</v>
      </c>
      <c r="D304" s="64">
        <v>0</v>
      </c>
      <c r="E304" s="51">
        <v>1</v>
      </c>
      <c r="F304" s="50">
        <f>SUM(B304*C304*D304*E304)</f>
        <v>0</v>
      </c>
      <c r="G304" s="50">
        <v>0</v>
      </c>
      <c r="H304" s="50">
        <f>SUM(F304:G304)</f>
        <v>0</v>
      </c>
      <c r="K304" s="52">
        <v>0</v>
      </c>
      <c r="L304" s="33" t="str">
        <f>'Materiálové hodnoty'!B107</f>
        <v>Sadrové omietky</v>
      </c>
      <c r="O304" s="34">
        <f>SUM($I$309*'Materiálové hodnoty'!$E107*'Materiálové hodnoty'!J107*$K304)</f>
        <v>0</v>
      </c>
      <c r="P304" s="34">
        <f>SUM($I$309*'Materiálové hodnoty'!$E107*'Materiálové hodnoty'!K107*$K304)</f>
        <v>0</v>
      </c>
      <c r="Q304" s="34">
        <f>SUM($I$309*'Materiálové hodnoty'!$E107*'Materiálové hodnoty'!L107*$K304)</f>
        <v>0</v>
      </c>
    </row>
    <row r="305" spans="2:17" ht="12.75">
      <c r="B305" s="50">
        <v>0</v>
      </c>
      <c r="C305" s="50">
        <v>0</v>
      </c>
      <c r="D305" s="64">
        <v>0</v>
      </c>
      <c r="E305" s="51">
        <v>1</v>
      </c>
      <c r="F305" s="50">
        <f>SUM(B305*C305*D305*E305)</f>
        <v>0</v>
      </c>
      <c r="G305" s="50">
        <v>0</v>
      </c>
      <c r="H305" s="50">
        <f>SUM(F305:G305)</f>
        <v>0</v>
      </c>
      <c r="I305"/>
      <c r="J305"/>
      <c r="K305" s="52">
        <v>0</v>
      </c>
      <c r="L305" s="33" t="str">
        <f>'Materiálové hodnoty'!B108</f>
        <v>Hlinené omietky</v>
      </c>
      <c r="O305" s="34">
        <f>SUM($I$309*'Materiálové hodnoty'!$E108*'Materiálové hodnoty'!J108*$K305)</f>
        <v>0</v>
      </c>
      <c r="P305" s="34">
        <f>SUM($I$309*'Materiálové hodnoty'!$E108*'Materiálové hodnoty'!K108*$K305)</f>
        <v>0</v>
      </c>
      <c r="Q305" s="34">
        <f>SUM($I$309*'Materiálové hodnoty'!$E108*'Materiálové hodnoty'!L108*$K305)</f>
        <v>0</v>
      </c>
    </row>
    <row r="306" spans="2:17" ht="12.75">
      <c r="B306" s="50">
        <v>0</v>
      </c>
      <c r="C306" s="50">
        <v>0</v>
      </c>
      <c r="D306" s="64">
        <v>0</v>
      </c>
      <c r="E306" s="51">
        <v>1</v>
      </c>
      <c r="F306" s="50">
        <f>SUM(B306*C306*D306*E306)</f>
        <v>0</v>
      </c>
      <c r="G306" s="50">
        <v>0</v>
      </c>
      <c r="H306" s="50">
        <f>SUM(F306:G306)</f>
        <v>0</v>
      </c>
      <c r="K306" s="52">
        <v>0</v>
      </c>
      <c r="L306" s="33" t="str">
        <f>'Materiálové hodnoty'!B109</f>
        <v>Cementový prednástrek</v>
      </c>
      <c r="O306" s="34">
        <f>SUM($I$309*'Materiálové hodnoty'!$E109*'Materiálové hodnoty'!J109*$K306)</f>
        <v>0</v>
      </c>
      <c r="P306" s="34">
        <f>SUM($I$309*'Materiálové hodnoty'!$E109*'Materiálové hodnoty'!K109*$K306)</f>
        <v>0</v>
      </c>
      <c r="Q306" s="34">
        <f>SUM($I$309*'Materiálové hodnoty'!$E109*'Materiálové hodnoty'!L109*$K306)</f>
        <v>0</v>
      </c>
    </row>
    <row r="307" spans="2:17" ht="12.75">
      <c r="B307" s="50">
        <v>0</v>
      </c>
      <c r="C307" s="50">
        <v>0</v>
      </c>
      <c r="D307" s="64">
        <v>0</v>
      </c>
      <c r="E307" s="51">
        <v>1</v>
      </c>
      <c r="F307" s="50">
        <f>SUM(B307*C307*D307*E307)</f>
        <v>0</v>
      </c>
      <c r="G307" s="50">
        <v>0</v>
      </c>
      <c r="H307" s="50">
        <f>SUM(F307:G307)</f>
        <v>0</v>
      </c>
      <c r="K307" s="52">
        <v>0</v>
      </c>
      <c r="L307" s="33" t="str">
        <f>'Materiálové hodnoty'!B110</f>
        <v>Trass-vápenný prednástrek</v>
      </c>
      <c r="O307" s="34">
        <f>SUM($I$309*'Materiálové hodnoty'!$E110*'Materiálové hodnoty'!J110*$K307)</f>
        <v>0</v>
      </c>
      <c r="P307" s="34">
        <f>SUM($I$309*'Materiálové hodnoty'!$E110*'Materiálové hodnoty'!K110*$K307)</f>
        <v>0</v>
      </c>
      <c r="Q307" s="34">
        <f>SUM($I$309*'Materiálové hodnoty'!$E110*'Materiálové hodnoty'!L110*$K307)</f>
        <v>0</v>
      </c>
    </row>
    <row r="308" spans="2:17" ht="12.75">
      <c r="B308" s="50">
        <v>0</v>
      </c>
      <c r="C308" s="50">
        <v>0</v>
      </c>
      <c r="D308" s="64">
        <v>0</v>
      </c>
      <c r="E308" s="51">
        <v>1</v>
      </c>
      <c r="F308" s="50">
        <f>SUM(B308*C308*D308*E308)</f>
        <v>0</v>
      </c>
      <c r="G308" s="50">
        <v>0</v>
      </c>
      <c r="H308" s="50">
        <f>SUM(F308:G308)</f>
        <v>0</v>
      </c>
      <c r="K308" s="52">
        <f>SUM(H300/I309)</f>
        <v>0.11764705882352942</v>
      </c>
      <c r="L308" s="33" t="str">
        <f>'Materiálové hodnoty'!B111</f>
        <v>Priľnavostný nástrek 2mm</v>
      </c>
      <c r="O308" s="34">
        <f>SUM($I$309*'Materiálové hodnoty'!$E111*'Materiálové hodnoty'!J111*$K308)</f>
        <v>1452.9</v>
      </c>
      <c r="P308" s="34">
        <f>SUM($I$309*'Materiálové hodnoty'!$E111*'Materiálové hodnoty'!K111*$K308)</f>
        <v>66.80000000000001</v>
      </c>
      <c r="Q308" s="34">
        <f>SUM($I$309*'Materiálové hodnoty'!$E111*'Materiálové hodnoty'!L111*$K308)</f>
        <v>0.6179000000000002</v>
      </c>
    </row>
    <row r="309" spans="2:17" ht="12.75">
      <c r="B309" s="50">
        <v>0</v>
      </c>
      <c r="C309" s="50">
        <v>0</v>
      </c>
      <c r="D309" s="64">
        <v>0</v>
      </c>
      <c r="E309" s="51">
        <v>1</v>
      </c>
      <c r="F309" s="50">
        <f>SUM(B309*C309*D309*E309)</f>
        <v>0</v>
      </c>
      <c r="G309" s="50">
        <v>0</v>
      </c>
      <c r="H309" s="50">
        <f>SUM(F309:G309)</f>
        <v>0</v>
      </c>
      <c r="I309" s="31">
        <f>SUM(H299:H309)</f>
        <v>2.839</v>
      </c>
      <c r="J309" s="32" t="s">
        <v>31</v>
      </c>
      <c r="K309" s="52">
        <v>0</v>
      </c>
      <c r="L309" s="33" t="str">
        <f>'Materiálové hodnoty'!B112</f>
        <v>Disperzia vodouriediteľná</v>
      </c>
      <c r="O309" s="34">
        <f>SUM($I$309*'Materiálové hodnoty'!$E112*'Materiálové hodnoty'!J112*$K309)</f>
        <v>0</v>
      </c>
      <c r="P309" s="34">
        <f>SUM($I$309*'Materiálové hodnoty'!$E112*'Materiálové hodnoty'!K112*$K309)</f>
        <v>0</v>
      </c>
      <c r="Q309" s="34">
        <f>SUM($I$309*'Materiálové hodnoty'!$E112*'Materiálové hodnoty'!L112*$K309)</f>
        <v>0</v>
      </c>
    </row>
    <row r="312" spans="1:17" ht="15">
      <c r="A312" s="42" t="s">
        <v>97</v>
      </c>
      <c r="B312" s="43"/>
      <c r="C312" s="43"/>
      <c r="D312" s="43"/>
      <c r="E312" s="44"/>
      <c r="F312" s="43"/>
      <c r="G312" s="43"/>
      <c r="H312" s="43"/>
      <c r="I312" s="42"/>
      <c r="J312" s="42"/>
      <c r="K312" s="42"/>
      <c r="L312" s="45"/>
      <c r="M312" s="45"/>
      <c r="N312" s="45"/>
      <c r="O312" s="46">
        <f>SUM(O314:O329)</f>
        <v>37902.925</v>
      </c>
      <c r="P312" s="46">
        <f>SUM(P314:P329)</f>
        <v>2044.8375</v>
      </c>
      <c r="Q312" s="46">
        <f>SUM(Q314:Q329)</f>
        <v>7.805490000000001</v>
      </c>
    </row>
    <row r="314" spans="1:12" ht="12.75">
      <c r="A314" s="31" t="s">
        <v>98</v>
      </c>
      <c r="B314" s="47" t="s">
        <v>23</v>
      </c>
      <c r="C314" s="47" t="s">
        <v>24</v>
      </c>
      <c r="D314" s="47"/>
      <c r="E314" s="30" t="s">
        <v>26</v>
      </c>
      <c r="F314" s="47" t="s">
        <v>35</v>
      </c>
      <c r="G314" s="47" t="s">
        <v>28</v>
      </c>
      <c r="H314" s="47" t="s">
        <v>29</v>
      </c>
      <c r="I314" s="48" t="s">
        <v>30</v>
      </c>
      <c r="J314" s="49"/>
      <c r="K314" s="32"/>
      <c r="L314" s="66" t="s">
        <v>98</v>
      </c>
    </row>
    <row r="315" spans="1:17" ht="12.75">
      <c r="A315" s="58"/>
      <c r="B315" s="50">
        <v>31</v>
      </c>
      <c r="C315" s="50">
        <v>1</v>
      </c>
      <c r="D315" s="50"/>
      <c r="E315" s="51">
        <v>1</v>
      </c>
      <c r="F315" s="50">
        <f>SUM(B315*C315*E315)</f>
        <v>31</v>
      </c>
      <c r="G315" s="50">
        <v>0</v>
      </c>
      <c r="H315" s="50">
        <f>SUM(F315:G315)</f>
        <v>31</v>
      </c>
      <c r="K315" s="52">
        <v>1</v>
      </c>
      <c r="L315" s="33" t="str">
        <f>'Materiálové hodnoty'!B152</f>
        <v>3 Sklo 4mm povrchovo upravené</v>
      </c>
      <c r="O315" s="34">
        <f>SUM($I$318*'Materiálové hodnoty'!N152*$K315)</f>
        <v>15500</v>
      </c>
      <c r="P315" s="34">
        <f>SUM($I$318*'Materiálové hodnoty'!O152*$K315)</f>
        <v>1026.1000000000001</v>
      </c>
      <c r="Q315" s="34">
        <f>SUM($I$318*'Materiálové hodnoty'!P152*$K315)</f>
        <v>2.6536000000000004</v>
      </c>
    </row>
    <row r="316" spans="1:17" ht="12.75">
      <c r="A316" s="58"/>
      <c r="B316" s="50">
        <v>0</v>
      </c>
      <c r="C316" s="50">
        <v>1</v>
      </c>
      <c r="D316" s="50"/>
      <c r="E316" s="51">
        <v>1</v>
      </c>
      <c r="F316" s="50">
        <f>SUM(B316*C316*E316)</f>
        <v>0</v>
      </c>
      <c r="G316" s="50">
        <v>0</v>
      </c>
      <c r="H316" s="50">
        <f>SUM(F316:G316)</f>
        <v>0</v>
      </c>
      <c r="K316" s="52">
        <v>0</v>
      </c>
      <c r="L316" s="33" t="str">
        <f>'Materiálové hodnoty'!B153</f>
        <v>3 Sklo 6mm</v>
      </c>
      <c r="O316" s="34">
        <f>SUM($I$318*'Materiálové hodnoty'!N153*$K316)</f>
        <v>0</v>
      </c>
      <c r="P316" s="34">
        <f>SUM($I$318*'Materiálové hodnoty'!O153*$K316)</f>
        <v>0</v>
      </c>
      <c r="Q316" s="34">
        <f>SUM($I$318*'Materiálové hodnoty'!P153*$K316)</f>
        <v>0</v>
      </c>
    </row>
    <row r="317" spans="1:17" ht="12.75">
      <c r="A317" s="58"/>
      <c r="B317" s="50">
        <v>0</v>
      </c>
      <c r="C317" s="50">
        <v>0</v>
      </c>
      <c r="D317" s="50"/>
      <c r="E317" s="51">
        <v>1</v>
      </c>
      <c r="F317" s="50">
        <f>SUM(B317*C317*E317)</f>
        <v>0</v>
      </c>
      <c r="G317" s="50">
        <v>0</v>
      </c>
      <c r="H317" s="50">
        <f>SUM(F317:G317)</f>
        <v>0</v>
      </c>
      <c r="K317" s="52">
        <v>0</v>
      </c>
      <c r="L317" s="33" t="str">
        <f>'Materiálové hodnoty'!B154</f>
        <v>Argón 2 x 16mm</v>
      </c>
      <c r="O317" s="34">
        <f>SUM($I$318*'Materiálové hodnoty'!N154*$K317)</f>
        <v>0</v>
      </c>
      <c r="P317" s="34">
        <f>SUM($I$318*'Materiálové hodnoty'!O154*$K317)</f>
        <v>0</v>
      </c>
      <c r="Q317" s="34">
        <f>SUM($I$318*'Materiálové hodnoty'!P154*$K317)</f>
        <v>0</v>
      </c>
    </row>
    <row r="318" spans="2:17" ht="12.75">
      <c r="B318" s="50">
        <v>0</v>
      </c>
      <c r="C318" s="50">
        <v>0</v>
      </c>
      <c r="D318" s="50"/>
      <c r="E318" s="51">
        <v>1</v>
      </c>
      <c r="F318" s="50">
        <f>SUM(B318*C318*E318)</f>
        <v>0</v>
      </c>
      <c r="G318" s="50">
        <v>0</v>
      </c>
      <c r="H318" s="50">
        <f>SUM(F318:G318)</f>
        <v>0</v>
      </c>
      <c r="I318" s="31">
        <f>SUM(H315:H319)</f>
        <v>31</v>
      </c>
      <c r="J318" s="32" t="s">
        <v>36</v>
      </c>
      <c r="K318" s="52">
        <v>1</v>
      </c>
      <c r="L318" s="33" t="str">
        <f>'Materiálové hodnoty'!B155</f>
        <v>Kryptón 2 x 12mm</v>
      </c>
      <c r="O318" s="34">
        <f>SUM($I$318*'Materiálové hodnoty'!N155*$K318)</f>
        <v>3038</v>
      </c>
      <c r="P318" s="34">
        <f>SUM($I$318*'Materiálové hodnoty'!O155*$K318)</f>
        <v>136.4</v>
      </c>
      <c r="Q318" s="34">
        <f>SUM($I$318*'Materiálové hodnoty'!P155*$K318)</f>
        <v>0.07564000000000001</v>
      </c>
    </row>
    <row r="319" spans="1:17" ht="12.75">
      <c r="A319" s="18"/>
      <c r="B319" s="18"/>
      <c r="C319" s="18"/>
      <c r="D319" s="18"/>
      <c r="E319" s="18"/>
      <c r="F319" s="18"/>
      <c r="G319" s="18"/>
      <c r="H319" s="18"/>
      <c r="I319" s="18"/>
      <c r="J319" s="18"/>
      <c r="K319" s="32"/>
      <c r="L319" s="67" t="s">
        <v>99</v>
      </c>
      <c r="M319" s="56"/>
      <c r="N319" s="56"/>
      <c r="O319" s="57"/>
      <c r="P319" s="57"/>
      <c r="Q319" s="57"/>
    </row>
    <row r="320" spans="11:17" ht="12.75">
      <c r="K320" s="52">
        <v>0</v>
      </c>
      <c r="L320" s="33" t="str">
        <f>'Materiálové hodnoty'!B157</f>
        <v>Drevené</v>
      </c>
      <c r="O320" s="34">
        <f>SUM($I$318*'Materiálové hodnoty'!N157*$K320)</f>
        <v>0</v>
      </c>
      <c r="P320" s="34">
        <f>SUM($I$318*'Materiálové hodnoty'!O157*$K320)</f>
        <v>0</v>
      </c>
      <c r="Q320" s="34">
        <f>SUM($I$318*'Materiálové hodnoty'!P157*$K320)</f>
        <v>0</v>
      </c>
    </row>
    <row r="321" spans="11:17" ht="12.75">
      <c r="K321" s="52">
        <v>0</v>
      </c>
      <c r="L321" s="33" t="str">
        <f>'Materiálové hodnoty'!B158</f>
        <v>Drevo s PUR jadrom</v>
      </c>
      <c r="O321" s="34">
        <f>SUM($I$318*'Materiálové hodnoty'!N158*$K321)</f>
        <v>0</v>
      </c>
      <c r="P321" s="34">
        <f>SUM($I$318*'Materiálové hodnoty'!O158*$K321)</f>
        <v>0</v>
      </c>
      <c r="Q321" s="34">
        <f>SUM($I$318*'Materiálové hodnoty'!P158*$K321)</f>
        <v>0</v>
      </c>
    </row>
    <row r="322" spans="11:17" ht="12.75">
      <c r="K322" s="52">
        <v>0</v>
      </c>
      <c r="L322" s="33" t="str">
        <f>'Materiálové hodnoty'!B159</f>
        <v>Drevo hlinikové</v>
      </c>
      <c r="O322" s="34">
        <f>SUM($I$318*'Materiálové hodnoty'!N159*$K322)</f>
        <v>0</v>
      </c>
      <c r="P322" s="34">
        <f>SUM($I$318*'Materiálové hodnoty'!O159*$K322)</f>
        <v>0</v>
      </c>
      <c r="Q322" s="34">
        <f>SUM($I$318*'Materiálové hodnoty'!P159*$K322)</f>
        <v>0</v>
      </c>
    </row>
    <row r="323" spans="11:17" ht="12.75">
      <c r="K323" s="52">
        <v>0</v>
      </c>
      <c r="L323" s="33" t="str">
        <f>'Materiálové hodnoty'!B160</f>
        <v>Drevo-hliník s jadrom z korku</v>
      </c>
      <c r="O323" s="34">
        <f>SUM($I$318*'Materiálové hodnoty'!N160*$K323)</f>
        <v>0</v>
      </c>
      <c r="P323" s="34">
        <f>SUM($I$318*'Materiálové hodnoty'!O160*$K323)</f>
        <v>0</v>
      </c>
      <c r="Q323" s="34">
        <f>SUM($I$318*'Materiálové hodnoty'!P160*$K323)</f>
        <v>0</v>
      </c>
    </row>
    <row r="324" spans="11:17" ht="12.75">
      <c r="K324" s="52">
        <v>0</v>
      </c>
      <c r="L324" s="33" t="str">
        <f>'Materiálové hodnoty'!B161</f>
        <v>Drevo-hliník s PUR </v>
      </c>
      <c r="O324" s="34">
        <f>SUM($I$318*'Materiálové hodnoty'!N161*$K324)</f>
        <v>0</v>
      </c>
      <c r="P324" s="34">
        <f>SUM($I$318*'Materiálové hodnoty'!O161*$K324)</f>
        <v>0</v>
      </c>
      <c r="Q324" s="34">
        <f>SUM($I$318*'Materiálové hodnoty'!P161*$K324)</f>
        <v>0</v>
      </c>
    </row>
    <row r="325" spans="11:17" ht="12.75">
      <c r="K325" s="52">
        <v>1</v>
      </c>
      <c r="L325" s="33" t="str">
        <f>'Materiálové hodnoty'!B162</f>
        <v>Plastové s PUR</v>
      </c>
      <c r="O325" s="34">
        <f>SUM($I$318*'Materiálové hodnoty'!N162*$K325)</f>
        <v>19313</v>
      </c>
      <c r="P325" s="34">
        <f>SUM($I$318*'Materiálové hodnoty'!O162*$K325)</f>
        <v>880.4</v>
      </c>
      <c r="Q325" s="34">
        <f>SUM($I$318*'Materiálové hodnoty'!P162*$K325)</f>
        <v>4.9910000000000005</v>
      </c>
    </row>
    <row r="326" spans="11:12" ht="12.75">
      <c r="K326" s="32"/>
      <c r="L326" s="66" t="str">
        <f>'Materiálové hodnoty'!B165</f>
        <v>Dištančné rámiky</v>
      </c>
    </row>
    <row r="327" spans="11:17" ht="12.75">
      <c r="K327" s="52">
        <v>1</v>
      </c>
      <c r="L327" s="33" t="str">
        <f>'Materiálové hodnoty'!B166</f>
        <v>Nerez 16mm</v>
      </c>
      <c r="O327" s="34">
        <f>SUM($I$318*'Materiálové hodnoty'!N166*$K327)</f>
        <v>51.925000000000004</v>
      </c>
      <c r="P327" s="34">
        <f>SUM($I$318*'Materiálové hodnoty'!O166*$K327)</f>
        <v>1.9375</v>
      </c>
      <c r="Q327" s="34">
        <f>SUM($I$318*'Materiálové hodnoty'!P166*$K327)</f>
        <v>0.08525</v>
      </c>
    </row>
    <row r="328" spans="11:17" ht="12.75">
      <c r="K328" s="52">
        <v>0</v>
      </c>
      <c r="L328" s="33" t="str">
        <f>'Materiálové hodnoty'!B167</f>
        <v>Thermix 16mm</v>
      </c>
      <c r="O328" s="34">
        <f>SUM($I$318*'Materiálové hodnoty'!N167*$K328)</f>
        <v>0</v>
      </c>
      <c r="P328" s="34">
        <f>SUM($I$318*'Materiálové hodnoty'!O167*$K328)</f>
        <v>0</v>
      </c>
      <c r="Q328" s="34">
        <f>SUM($I$318*'Materiálové hodnoty'!P167*$K328)</f>
        <v>0</v>
      </c>
    </row>
  </sheetData>
  <sheetProtection/>
  <mergeCells count="1">
    <mergeCell ref="B1:H1"/>
  </mergeCells>
  <printOptions/>
  <pageMargins left="0.7875" right="0.7875" top="1.025" bottom="1.025" header="0.7875" footer="0.7875"/>
  <pageSetup fitToHeight="2" fitToWidth="1" horizontalDpi="300" verticalDpi="300" orientation="portrait" paperSize="9"/>
  <headerFooter alignWithMargins="0">
    <oddHeader>&amp;C&amp;A</oddHeader>
    <oddFooter>&amp;CStrana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75"/>
  <sheetViews>
    <sheetView zoomScale="64" zoomScaleNormal="64" workbookViewId="0" topLeftCell="A1">
      <selection activeCell="N33" sqref="N33"/>
    </sheetView>
  </sheetViews>
  <sheetFormatPr defaultColWidth="12.57421875" defaultRowHeight="12.75"/>
  <cols>
    <col min="1" max="1" width="14.57421875" style="0" customWidth="1"/>
    <col min="2" max="2" width="42.57421875" style="2" customWidth="1"/>
    <col min="3" max="3" width="24.421875" style="68" customWidth="1"/>
    <col min="4" max="4" width="9.28125" style="2" customWidth="1"/>
    <col min="5" max="5" width="9.00390625" style="2" customWidth="1"/>
    <col min="6" max="7" width="11.57421875" style="2" customWidth="1"/>
    <col min="8" max="8" width="11.57421875" style="69" customWidth="1"/>
    <col min="9" max="9" width="11.57421875" style="70" customWidth="1"/>
    <col min="10" max="11" width="11.57421875" style="69" customWidth="1"/>
    <col min="12" max="12" width="11.57421875" style="71" customWidth="1"/>
    <col min="13" max="13" width="11.57421875" style="26" customWidth="1"/>
    <col min="14" max="14" width="15.8515625" style="72" customWidth="1"/>
    <col min="15" max="15" width="11.57421875" style="73" customWidth="1"/>
    <col min="16" max="16" width="11.57421875" style="74" customWidth="1"/>
    <col min="17" max="254" width="11.57421875" style="2" customWidth="1"/>
    <col min="255" max="16384" width="11.57421875" style="0" customWidth="1"/>
  </cols>
  <sheetData>
    <row r="1" spans="2:16" ht="21.75">
      <c r="B1" s="1" t="s">
        <v>103</v>
      </c>
      <c r="C1" s="75"/>
      <c r="M1" s="76"/>
      <c r="N1" s="77"/>
      <c r="O1" s="78"/>
      <c r="P1" s="79"/>
    </row>
    <row r="2" spans="1:16" ht="13.5">
      <c r="A2" t="s">
        <v>104</v>
      </c>
      <c r="B2" s="2" t="s">
        <v>105</v>
      </c>
      <c r="M2" s="80"/>
      <c r="N2" s="81"/>
      <c r="O2" s="78"/>
      <c r="P2" s="79"/>
    </row>
    <row r="3" spans="1:16" ht="13.5">
      <c r="A3" t="s">
        <v>106</v>
      </c>
      <c r="B3" s="2" t="s">
        <v>107</v>
      </c>
      <c r="M3" s="80"/>
      <c r="N3" s="81"/>
      <c r="O3" s="78"/>
      <c r="P3" s="79"/>
    </row>
    <row r="4" spans="1:256" s="89" customFormat="1" ht="51">
      <c r="A4" s="82"/>
      <c r="B4" s="83" t="s">
        <v>108</v>
      </c>
      <c r="C4" s="84" t="s">
        <v>109</v>
      </c>
      <c r="D4" s="85" t="s">
        <v>110</v>
      </c>
      <c r="E4" s="85" t="s">
        <v>111</v>
      </c>
      <c r="F4" s="85" t="s">
        <v>112</v>
      </c>
      <c r="G4" s="85" t="s">
        <v>113</v>
      </c>
      <c r="H4" s="85" t="s">
        <v>114</v>
      </c>
      <c r="I4" s="41" t="s">
        <v>115</v>
      </c>
      <c r="J4" s="86" t="s">
        <v>116</v>
      </c>
      <c r="K4" s="86" t="s">
        <v>117</v>
      </c>
      <c r="L4" s="87" t="s">
        <v>118</v>
      </c>
      <c r="M4" s="85" t="s">
        <v>119</v>
      </c>
      <c r="N4" s="41" t="s">
        <v>120</v>
      </c>
      <c r="O4" s="85" t="s">
        <v>121</v>
      </c>
      <c r="P4" s="85" t="s">
        <v>122</v>
      </c>
      <c r="Q4" s="88"/>
      <c r="R4" s="88"/>
      <c r="S4" s="88"/>
      <c r="IU4" s="82"/>
      <c r="IV4" s="82"/>
    </row>
    <row r="5" spans="2:16" ht="13.5">
      <c r="B5" s="90" t="s">
        <v>123</v>
      </c>
      <c r="D5" s="2">
        <v>200</v>
      </c>
      <c r="E5" s="2">
        <v>1800</v>
      </c>
      <c r="F5" s="2">
        <v>2</v>
      </c>
      <c r="G5" s="2">
        <f>SUM(F5*D5/1000)</f>
        <v>0.4</v>
      </c>
      <c r="H5" s="69">
        <v>0.7</v>
      </c>
      <c r="I5" s="70">
        <v>1</v>
      </c>
      <c r="J5" s="69">
        <v>0.08</v>
      </c>
      <c r="K5" s="69">
        <v>0.004</v>
      </c>
      <c r="L5" s="71">
        <v>5E-05</v>
      </c>
      <c r="M5" s="91">
        <f>SUM((E5/1000*D5)*I5)</f>
        <v>360</v>
      </c>
      <c r="N5" s="72">
        <f>SUM((E5/1000*D5)*J5)</f>
        <v>28.8</v>
      </c>
      <c r="O5" s="73">
        <f>SUM((E5/1000*D5)*K5)</f>
        <v>1.44</v>
      </c>
      <c r="P5" s="92">
        <f>SUM((E5/1000*D5)*L5)</f>
        <v>0.018000000000000002</v>
      </c>
    </row>
    <row r="6" spans="2:16" ht="13.5">
      <c r="B6" s="90" t="s">
        <v>124</v>
      </c>
      <c r="D6" s="2">
        <v>200</v>
      </c>
      <c r="E6" s="2">
        <v>1600</v>
      </c>
      <c r="F6" s="2">
        <v>2</v>
      </c>
      <c r="G6" s="2">
        <f>SUM(F6*D6/1000)</f>
        <v>0.4</v>
      </c>
      <c r="H6" s="69">
        <v>0.7</v>
      </c>
      <c r="I6" s="70">
        <v>1</v>
      </c>
      <c r="J6" s="69">
        <v>0.11</v>
      </c>
      <c r="K6" s="69">
        <v>0.007</v>
      </c>
      <c r="L6" s="71">
        <v>0.00012000000000000002</v>
      </c>
      <c r="M6" s="91">
        <f>SUM((E6/1000*D6)*I6)</f>
        <v>320</v>
      </c>
      <c r="N6" s="72">
        <f>SUM((E6/1000*D6)*J6)</f>
        <v>35.2</v>
      </c>
      <c r="O6" s="73">
        <f>SUM((E6/1000*D6)*K6)</f>
        <v>2.24</v>
      </c>
      <c r="P6" s="92">
        <f>SUM((E6/1000*D6)*L6)</f>
        <v>0.038400000000000004</v>
      </c>
    </row>
    <row r="7" spans="1:16" ht="13.5">
      <c r="A7" t="s">
        <v>104</v>
      </c>
      <c r="B7" s="93" t="s">
        <v>125</v>
      </c>
      <c r="D7" s="2">
        <v>200</v>
      </c>
      <c r="E7" s="2">
        <v>1650</v>
      </c>
      <c r="F7" s="2">
        <v>5</v>
      </c>
      <c r="G7" s="2">
        <f>SUM(F7*D7/1000)</f>
        <v>1</v>
      </c>
      <c r="H7" s="69">
        <v>1.4</v>
      </c>
      <c r="I7" s="70">
        <v>1.116</v>
      </c>
      <c r="J7" s="69">
        <v>0.09090000000000001</v>
      </c>
      <c r="K7" s="69">
        <v>0.005370000000000001</v>
      </c>
      <c r="L7" s="71">
        <v>3.9E-05</v>
      </c>
      <c r="M7" s="91">
        <f>SUM((E7/1000*D7)*I7)</f>
        <v>368.28000000000003</v>
      </c>
      <c r="N7" s="72">
        <f>SUM((E7/1000*D7)*J7)</f>
        <v>29.997000000000003</v>
      </c>
      <c r="O7" s="73">
        <f>SUM((E7/1000*D7)*K7)</f>
        <v>1.7721000000000002</v>
      </c>
      <c r="P7" s="92">
        <f>SUM((E7/1000*D7)*L7)</f>
        <v>0.01287</v>
      </c>
    </row>
    <row r="8" spans="1:256" s="76" customFormat="1" ht="13.5">
      <c r="A8" s="18"/>
      <c r="C8" s="94"/>
      <c r="H8" s="78"/>
      <c r="I8" s="77"/>
      <c r="J8" s="78"/>
      <c r="K8" s="78"/>
      <c r="L8" s="95"/>
      <c r="M8" s="80"/>
      <c r="N8" s="81"/>
      <c r="O8" s="78"/>
      <c r="P8" s="79"/>
      <c r="IU8" s="18"/>
      <c r="IV8" s="18"/>
    </row>
    <row r="9" spans="1:256" s="89" customFormat="1" ht="51">
      <c r="A9" s="82"/>
      <c r="B9" s="96" t="s">
        <v>126</v>
      </c>
      <c r="C9" s="84" t="s">
        <v>109</v>
      </c>
      <c r="D9" s="85" t="s">
        <v>110</v>
      </c>
      <c r="E9" s="85" t="s">
        <v>111</v>
      </c>
      <c r="F9" s="85" t="s">
        <v>112</v>
      </c>
      <c r="G9" s="85" t="s">
        <v>113</v>
      </c>
      <c r="H9" s="85" t="s">
        <v>114</v>
      </c>
      <c r="I9" s="41" t="s">
        <v>115</v>
      </c>
      <c r="J9" s="86" t="s">
        <v>116</v>
      </c>
      <c r="K9" s="86" t="s">
        <v>117</v>
      </c>
      <c r="L9" s="87" t="s">
        <v>118</v>
      </c>
      <c r="M9" s="85" t="s">
        <v>119</v>
      </c>
      <c r="N9" s="41" t="s">
        <v>120</v>
      </c>
      <c r="O9" s="85" t="s">
        <v>121</v>
      </c>
      <c r="P9" s="85" t="s">
        <v>122</v>
      </c>
      <c r="Q9" s="88"/>
      <c r="R9" s="88"/>
      <c r="S9" s="88"/>
      <c r="IU9" s="82"/>
      <c r="IV9" s="82"/>
    </row>
    <row r="10" spans="2:16" ht="13.5">
      <c r="B10" s="90" t="s">
        <v>127</v>
      </c>
      <c r="C10" s="68" t="s">
        <v>128</v>
      </c>
      <c r="D10" s="2">
        <v>35</v>
      </c>
      <c r="E10" s="2">
        <v>540</v>
      </c>
      <c r="F10" s="2">
        <v>50</v>
      </c>
      <c r="H10" s="69">
        <v>0.13</v>
      </c>
      <c r="I10" s="70">
        <v>2</v>
      </c>
      <c r="J10" s="69">
        <v>1.89</v>
      </c>
      <c r="K10" s="69">
        <v>-1.409</v>
      </c>
      <c r="L10" s="71">
        <v>0.00124</v>
      </c>
      <c r="M10" s="91">
        <f>SUM((E10/1000*D10)*I10)</f>
        <v>37.800000000000004</v>
      </c>
      <c r="N10" s="72">
        <f>SUM((E10/1000*D10)*J10)</f>
        <v>35.721000000000004</v>
      </c>
      <c r="O10" s="73">
        <f>SUM((E10/1000*D10)*K10)</f>
        <v>-26.630100000000002</v>
      </c>
      <c r="P10" s="92">
        <f>SUM((E10/1000*D10)*L10)</f>
        <v>0.023436000000000002</v>
      </c>
    </row>
    <row r="11" spans="2:16" ht="13.5">
      <c r="B11" s="90" t="s">
        <v>129</v>
      </c>
      <c r="C11" s="68" t="s">
        <v>130</v>
      </c>
      <c r="D11" s="2">
        <v>35</v>
      </c>
      <c r="E11" s="2">
        <v>500</v>
      </c>
      <c r="F11" s="2">
        <v>50</v>
      </c>
      <c r="H11" s="69">
        <v>0.13</v>
      </c>
      <c r="I11" s="70">
        <v>2</v>
      </c>
      <c r="J11" s="69">
        <v>2.72</v>
      </c>
      <c r="K11" s="69">
        <v>-1.49</v>
      </c>
      <c r="L11" s="71">
        <v>0.00161</v>
      </c>
      <c r="M11" s="91">
        <f>SUM((E11/1000*D11)*I11)</f>
        <v>35</v>
      </c>
      <c r="N11" s="72">
        <f>SUM((E11/1000*D11)*J11)</f>
        <v>47.599999999999994</v>
      </c>
      <c r="O11" s="73">
        <f>SUM((E11/1000*D11)*K11)</f>
        <v>-26.075</v>
      </c>
      <c r="P11" s="92">
        <f>SUM((E11/1000*D11)*L11)</f>
        <v>0.028175000000000002</v>
      </c>
    </row>
    <row r="12" spans="2:16" ht="13.5">
      <c r="B12" s="90" t="s">
        <v>131</v>
      </c>
      <c r="C12" s="68" t="s">
        <v>132</v>
      </c>
      <c r="D12" s="2">
        <v>20</v>
      </c>
      <c r="E12" s="2">
        <v>455</v>
      </c>
      <c r="F12" s="2">
        <v>50</v>
      </c>
      <c r="H12" s="69">
        <v>0.11</v>
      </c>
      <c r="I12" s="70">
        <v>2</v>
      </c>
      <c r="J12" s="78">
        <v>8.04</v>
      </c>
      <c r="K12" s="69">
        <v>-1.259</v>
      </c>
      <c r="L12" s="71">
        <v>0.0034100000000000003</v>
      </c>
      <c r="M12" s="91">
        <f>SUM((E12/1000*D12)*I12)</f>
        <v>18.2</v>
      </c>
      <c r="N12" s="72">
        <f>SUM((E12/1000*D12)*J12)</f>
        <v>73.16399999999999</v>
      </c>
      <c r="O12" s="73">
        <f>SUM((E12/1000*D12)*K12)</f>
        <v>-11.4569</v>
      </c>
      <c r="P12" s="92">
        <f>SUM((E12/1000*D12)*L12)</f>
        <v>0.031031</v>
      </c>
    </row>
    <row r="13" spans="2:16" ht="13.5">
      <c r="B13" s="90" t="s">
        <v>133</v>
      </c>
      <c r="C13" s="68" t="s">
        <v>134</v>
      </c>
      <c r="D13" s="2">
        <v>90</v>
      </c>
      <c r="E13" s="2">
        <v>500</v>
      </c>
      <c r="F13" s="2">
        <v>2</v>
      </c>
      <c r="G13" s="2">
        <f>SUM(F13*D13/1000)</f>
        <v>0.18</v>
      </c>
      <c r="H13" s="69">
        <v>0.15</v>
      </c>
      <c r="I13" s="70">
        <v>2</v>
      </c>
      <c r="J13" s="78">
        <v>3.22</v>
      </c>
      <c r="K13" s="69">
        <v>-1.6320000000000001</v>
      </c>
      <c r="L13" s="71">
        <v>0.0018300000000000002</v>
      </c>
      <c r="M13" s="91">
        <f>SUM((E13/1000*D13)*I13)</f>
        <v>90</v>
      </c>
      <c r="N13" s="72">
        <f>SUM((E13/1000*D13)*J13)</f>
        <v>144.9</v>
      </c>
      <c r="O13" s="73">
        <f>SUM((E13/1000*D13)*K13)</f>
        <v>-73.44000000000001</v>
      </c>
      <c r="P13" s="92">
        <f>SUM((E13/1000*D13)*L13)</f>
        <v>0.08235</v>
      </c>
    </row>
    <row r="14" spans="1:16" ht="13.5">
      <c r="A14" t="s">
        <v>104</v>
      </c>
      <c r="B14" s="90" t="s">
        <v>135</v>
      </c>
      <c r="D14" s="2">
        <v>250</v>
      </c>
      <c r="E14" s="2">
        <v>2300</v>
      </c>
      <c r="F14" s="2">
        <v>50</v>
      </c>
      <c r="G14" s="2">
        <f>SUM(F14*D14/1000)</f>
        <v>12.5</v>
      </c>
      <c r="H14" s="69">
        <v>1.71</v>
      </c>
      <c r="I14" s="70">
        <v>1.16</v>
      </c>
      <c r="J14" s="69">
        <v>0.6890000000000001</v>
      </c>
      <c r="K14" s="69">
        <v>0.10300000000000001</v>
      </c>
      <c r="L14" s="71">
        <v>0.00023899999999999998</v>
      </c>
      <c r="M14" s="91">
        <f>SUM((E14/1000*D14)*I14)</f>
        <v>667</v>
      </c>
      <c r="N14" s="72">
        <f>SUM((E14/1000*D14)*J14)</f>
        <v>396.175</v>
      </c>
      <c r="O14" s="73">
        <f>SUM((E14/1000*D14)*K14)</f>
        <v>59.225</v>
      </c>
      <c r="P14" s="92">
        <f>SUM((E14/1000*D14)*L14)</f>
        <v>0.137425</v>
      </c>
    </row>
    <row r="15" spans="1:16" ht="13.5">
      <c r="A15" t="s">
        <v>104</v>
      </c>
      <c r="B15" s="93" t="s">
        <v>136</v>
      </c>
      <c r="D15" s="2">
        <v>250</v>
      </c>
      <c r="E15" s="2">
        <v>1400</v>
      </c>
      <c r="F15" s="2">
        <v>10</v>
      </c>
      <c r="G15" s="2">
        <f>SUM(F15*D15/1000)</f>
        <v>2.5</v>
      </c>
      <c r="H15" s="69">
        <v>0.55</v>
      </c>
      <c r="I15" s="70">
        <v>1.116</v>
      </c>
      <c r="J15" s="69">
        <v>2</v>
      </c>
      <c r="K15" s="69">
        <v>0.384</v>
      </c>
      <c r="L15" s="71">
        <v>0.00266</v>
      </c>
      <c r="M15" s="91">
        <f>SUM((E15/1000*D15)*I15)</f>
        <v>390.6</v>
      </c>
      <c r="N15" s="72">
        <f>SUM((E15/1000*D15)*J15)</f>
        <v>700</v>
      </c>
      <c r="O15" s="73">
        <f>SUM((E15/1000*D15)*K15)</f>
        <v>134.4</v>
      </c>
      <c r="P15" s="92">
        <f>SUM((E15/1000*D15)*L15)</f>
        <v>0.931</v>
      </c>
    </row>
    <row r="16" spans="1:16" ht="13.5">
      <c r="A16" t="s">
        <v>104</v>
      </c>
      <c r="B16" s="93" t="s">
        <v>137</v>
      </c>
      <c r="D16" s="2">
        <v>250</v>
      </c>
      <c r="E16" s="2">
        <v>1200</v>
      </c>
      <c r="F16" s="2">
        <v>35</v>
      </c>
      <c r="G16" s="2">
        <f>SUM(F16*D16/1000)</f>
        <v>8.75</v>
      </c>
      <c r="H16" s="69">
        <v>0.55</v>
      </c>
      <c r="I16" s="70">
        <v>1.116</v>
      </c>
      <c r="J16" s="69">
        <v>0.872</v>
      </c>
      <c r="K16" s="69">
        <v>0.135</v>
      </c>
      <c r="L16" s="71">
        <v>0.000428</v>
      </c>
      <c r="M16" s="91">
        <f>SUM((E16/1000*D16)*I16)</f>
        <v>334.8</v>
      </c>
      <c r="N16" s="72">
        <f>SUM((E16/1000*D16)*J16)</f>
        <v>261.6</v>
      </c>
      <c r="O16" s="73">
        <f>SUM((E16/1000*D16)*K16)</f>
        <v>40.5</v>
      </c>
      <c r="P16" s="92">
        <f>SUM((E16/1000*D16)*L16)</f>
        <v>0.1284</v>
      </c>
    </row>
    <row r="17" spans="1:16" ht="13.5">
      <c r="A17" t="s">
        <v>104</v>
      </c>
      <c r="B17" s="90" t="s">
        <v>71</v>
      </c>
      <c r="D17" s="2">
        <v>150</v>
      </c>
      <c r="E17" s="2">
        <v>2400</v>
      </c>
      <c r="F17" s="2">
        <v>100</v>
      </c>
      <c r="G17" s="2">
        <f>SUM(F17*D17/1000)</f>
        <v>15</v>
      </c>
      <c r="H17" s="69">
        <v>2.3</v>
      </c>
      <c r="I17" s="70">
        <v>1.12</v>
      </c>
      <c r="J17" s="69">
        <v>1.17</v>
      </c>
      <c r="K17" s="69">
        <v>0.153</v>
      </c>
      <c r="L17" s="71">
        <v>0.000521</v>
      </c>
      <c r="M17" s="91">
        <f>SUM((E17/1000*D17)*I17)</f>
        <v>403.20000000000005</v>
      </c>
      <c r="N17" s="72">
        <f>SUM((E17/1000*D17)*J17)</f>
        <v>421.2</v>
      </c>
      <c r="O17" s="73">
        <f>SUM((E17/1000*D17)*K17)</f>
        <v>55.08</v>
      </c>
      <c r="P17" s="92">
        <f>SUM((E17/1000*D17)*L17)</f>
        <v>0.18756</v>
      </c>
    </row>
    <row r="18" spans="2:16" ht="13.5">
      <c r="B18" s="97" t="s">
        <v>138</v>
      </c>
      <c r="E18" s="2">
        <v>7800</v>
      </c>
      <c r="H18" s="69">
        <v>60</v>
      </c>
      <c r="I18" s="70">
        <v>0.46</v>
      </c>
      <c r="J18" s="69">
        <v>22.7</v>
      </c>
      <c r="K18" s="69">
        <v>0.935</v>
      </c>
      <c r="L18" s="71">
        <v>0.0056700000000000006</v>
      </c>
      <c r="P18" s="92"/>
    </row>
    <row r="19" spans="2:16" ht="13.5">
      <c r="B19" s="97" t="s">
        <v>139</v>
      </c>
      <c r="D19" s="76">
        <v>0.7</v>
      </c>
      <c r="E19" s="2">
        <f>SUM(E17*D19/100*D17/1000)</f>
        <v>2.52</v>
      </c>
      <c r="M19" s="26">
        <f>SUM(E19*I18)</f>
        <v>1.1592</v>
      </c>
      <c r="N19" s="72">
        <f>SUM(E19*J18)</f>
        <v>57.204</v>
      </c>
      <c r="O19" s="73">
        <f>SUM(E19*K18)</f>
        <v>2.3562000000000003</v>
      </c>
      <c r="P19" s="92">
        <f>SUM(E19*L16)</f>
        <v>0.00107856</v>
      </c>
    </row>
    <row r="20" spans="2:16" ht="13.5">
      <c r="B20" s="97" t="s">
        <v>140</v>
      </c>
      <c r="D20" s="76">
        <v>0.8</v>
      </c>
      <c r="E20" s="2">
        <f>SUM(E17*D20/100*D17/1000)</f>
        <v>2.88</v>
      </c>
      <c r="M20" s="26">
        <f>SUM(E20*I18)</f>
        <v>1.3248</v>
      </c>
      <c r="N20" s="72">
        <f>SUM(E20*J18)</f>
        <v>65.37599999999999</v>
      </c>
      <c r="O20" s="73">
        <f>SUM(E20*K18)</f>
        <v>2.6928</v>
      </c>
      <c r="P20" s="92">
        <f>SUM(E20*L17)</f>
        <v>0.0015004799999999998</v>
      </c>
    </row>
    <row r="21" spans="2:16" ht="13.5">
      <c r="B21" s="97" t="s">
        <v>141</v>
      </c>
      <c r="D21" s="76">
        <v>0.9</v>
      </c>
      <c r="E21" s="2">
        <f>SUM(E17*D21/100*D17/1000)</f>
        <v>3.24</v>
      </c>
      <c r="M21" s="26">
        <f>SUM(E21*I18)</f>
        <v>1.4904000000000002</v>
      </c>
      <c r="N21" s="72">
        <f>SUM(E21*J18)</f>
        <v>73.548</v>
      </c>
      <c r="O21" s="73">
        <f>SUM(E21*K18)</f>
        <v>3.0294000000000003</v>
      </c>
      <c r="P21" s="92">
        <f>SUM(E21*L18)</f>
        <v>0.018370800000000003</v>
      </c>
    </row>
    <row r="22" spans="2:16" ht="13.5">
      <c r="B22" s="97"/>
      <c r="D22" s="76">
        <f>SUM(D17)</f>
        <v>150</v>
      </c>
      <c r="E22" s="76">
        <f>SUM(E17)</f>
        <v>2400</v>
      </c>
      <c r="M22" s="98">
        <f>SUM(M17:M19)</f>
        <v>404.35920000000004</v>
      </c>
      <c r="N22" s="99">
        <f>SUM(N17:N19)</f>
        <v>478.404</v>
      </c>
      <c r="O22" s="100">
        <f>SUM(O17:O19)</f>
        <v>57.4362</v>
      </c>
      <c r="P22" s="101">
        <f>SUM(P17:P19)</f>
        <v>0.18863856</v>
      </c>
    </row>
    <row r="23" spans="1:16" ht="13.5">
      <c r="A23" t="s">
        <v>104</v>
      </c>
      <c r="B23" s="90" t="s">
        <v>142</v>
      </c>
      <c r="D23" s="2">
        <v>250</v>
      </c>
      <c r="E23" s="2">
        <v>800</v>
      </c>
      <c r="F23" s="2">
        <v>7</v>
      </c>
      <c r="G23" s="2">
        <f>SUM(F23*D23/1000)</f>
        <v>1.75</v>
      </c>
      <c r="H23" s="69">
        <v>0.27</v>
      </c>
      <c r="I23" s="70">
        <v>1</v>
      </c>
      <c r="J23" s="69">
        <v>2.49</v>
      </c>
      <c r="K23" s="69">
        <v>0.176</v>
      </c>
      <c r="L23" s="71">
        <v>0.00055</v>
      </c>
      <c r="M23" s="91">
        <f>SUM((E23/1000*D23)*I23)</f>
        <v>200</v>
      </c>
      <c r="N23" s="72">
        <f>SUM((E23/1000*D23)*J23)</f>
        <v>498.00000000000006</v>
      </c>
      <c r="O23" s="73">
        <f>SUM((E23/1000*D23)*K23)</f>
        <v>35.199999999999996</v>
      </c>
      <c r="P23" s="92">
        <f>SUM((E23/1000*D23)*L23)</f>
        <v>0.11</v>
      </c>
    </row>
    <row r="24" spans="2:16" ht="13.5">
      <c r="B24" s="90" t="s">
        <v>143</v>
      </c>
      <c r="D24" s="2">
        <v>400</v>
      </c>
      <c r="E24" s="2">
        <v>2000</v>
      </c>
      <c r="F24" s="2">
        <v>6</v>
      </c>
      <c r="G24" s="2">
        <f>SUM(F24*D24/1000)</f>
        <v>2.4</v>
      </c>
      <c r="H24" s="69">
        <v>1</v>
      </c>
      <c r="I24" s="70">
        <v>1</v>
      </c>
      <c r="J24" s="69">
        <v>0.35</v>
      </c>
      <c r="K24" s="69">
        <v>0.017</v>
      </c>
      <c r="L24" s="71">
        <v>0.0001</v>
      </c>
      <c r="M24" s="91">
        <f>SUM((E24/1000*D24)*I24)</f>
        <v>800</v>
      </c>
      <c r="N24" s="72">
        <f>SUM((E24/1000*D24)*J24)</f>
        <v>280</v>
      </c>
      <c r="O24" s="73">
        <f>SUM((E24/1000*D24)*K24)</f>
        <v>13.600000000000001</v>
      </c>
      <c r="P24" s="92">
        <f>SUM((E24/1000*D24)*L24)</f>
        <v>0.08</v>
      </c>
    </row>
    <row r="25" spans="1:16" ht="13.5">
      <c r="A25" t="s">
        <v>104</v>
      </c>
      <c r="B25" s="93" t="s">
        <v>144</v>
      </c>
      <c r="D25" s="2">
        <v>300</v>
      </c>
      <c r="E25" s="2">
        <v>400</v>
      </c>
      <c r="F25" s="2">
        <v>15</v>
      </c>
      <c r="G25" s="2">
        <f>SUM(F25*D25/1000)</f>
        <v>4.5</v>
      </c>
      <c r="H25" s="69">
        <v>0.11</v>
      </c>
      <c r="I25" s="70">
        <v>1.116</v>
      </c>
      <c r="J25" s="69">
        <v>3.44</v>
      </c>
      <c r="K25" s="69">
        <v>0.331</v>
      </c>
      <c r="L25" s="71">
        <v>0.0008</v>
      </c>
      <c r="M25" s="91">
        <f>SUM((E25/1000*D25)*I25)</f>
        <v>133.92000000000002</v>
      </c>
      <c r="N25" s="72">
        <f>SUM((E25/1000*D25)*J25)</f>
        <v>412.8</v>
      </c>
      <c r="O25" s="73">
        <f>SUM((E25/1000*D25)*K25)</f>
        <v>39.72</v>
      </c>
      <c r="P25" s="92">
        <f>SUM((E25/1000*D25)*L25)</f>
        <v>0.096</v>
      </c>
    </row>
    <row r="26" spans="2:16" ht="13.5">
      <c r="B26" s="90" t="s">
        <v>145</v>
      </c>
      <c r="D26" s="2">
        <v>175</v>
      </c>
      <c r="E26" s="2">
        <v>1810</v>
      </c>
      <c r="F26" s="2">
        <v>5</v>
      </c>
      <c r="G26" s="2">
        <f>SUM(F26*D26/1000)</f>
        <v>0.875</v>
      </c>
      <c r="H26" s="69">
        <v>1.3</v>
      </c>
      <c r="I26" s="70">
        <v>1</v>
      </c>
      <c r="J26" s="69">
        <v>0.842</v>
      </c>
      <c r="K26" s="69">
        <v>0.105</v>
      </c>
      <c r="L26" s="71">
        <v>0.00016</v>
      </c>
      <c r="M26" s="91">
        <f>SUM((E26/1000*D26)*I26)</f>
        <v>316.75</v>
      </c>
      <c r="N26" s="72">
        <f>SUM((E26/1000*D26)*J26)</f>
        <v>266.70349999999996</v>
      </c>
      <c r="O26" s="73">
        <f>SUM((E26/1000*D26)*K26)</f>
        <v>33.25875</v>
      </c>
      <c r="P26" s="92">
        <f>SUM((E26/1000*D26)*L26)</f>
        <v>0.05068</v>
      </c>
    </row>
    <row r="27" spans="2:16" ht="13.5">
      <c r="B27" s="90" t="s">
        <v>145</v>
      </c>
      <c r="D27" s="2">
        <v>240</v>
      </c>
      <c r="E27" s="2">
        <v>1810</v>
      </c>
      <c r="F27" s="2">
        <v>5</v>
      </c>
      <c r="G27" s="2">
        <f>SUM(F27*D27/1000)</f>
        <v>1.2</v>
      </c>
      <c r="H27" s="69">
        <v>1.3</v>
      </c>
      <c r="I27" s="70">
        <v>1</v>
      </c>
      <c r="J27" s="69">
        <v>0.842</v>
      </c>
      <c r="K27" s="69">
        <v>0.105</v>
      </c>
      <c r="L27" s="71">
        <v>0.00016</v>
      </c>
      <c r="M27" s="91">
        <f>SUM((E27/1000*D27)*I27)</f>
        <v>434.40000000000003</v>
      </c>
      <c r="N27" s="72">
        <f>SUM((E27/1000*D27)*J27)</f>
        <v>365.76480000000004</v>
      </c>
      <c r="O27" s="73">
        <f>SUM((E27/1000*D27)*K27)</f>
        <v>45.612</v>
      </c>
      <c r="P27" s="92">
        <f>SUM((E27/1000*D27)*L27)</f>
        <v>0.06950400000000001</v>
      </c>
    </row>
    <row r="28" spans="1:256" s="76" customFormat="1" ht="13.5">
      <c r="A28" s="18"/>
      <c r="C28" s="94"/>
      <c r="H28" s="78"/>
      <c r="I28" s="77"/>
      <c r="J28" s="78"/>
      <c r="K28" s="78"/>
      <c r="L28" s="95"/>
      <c r="M28" s="80"/>
      <c r="N28" s="81"/>
      <c r="O28" s="78"/>
      <c r="P28" s="79"/>
      <c r="IU28" s="18"/>
      <c r="IV28" s="18"/>
    </row>
    <row r="29" spans="1:256" s="89" customFormat="1" ht="51">
      <c r="A29" s="82"/>
      <c r="B29" s="83" t="s">
        <v>146</v>
      </c>
      <c r="C29" s="84" t="s">
        <v>109</v>
      </c>
      <c r="D29" s="85" t="s">
        <v>110</v>
      </c>
      <c r="E29" s="85" t="s">
        <v>111</v>
      </c>
      <c r="F29" s="85" t="s">
        <v>112</v>
      </c>
      <c r="G29" s="85" t="s">
        <v>113</v>
      </c>
      <c r="H29" s="85" t="s">
        <v>114</v>
      </c>
      <c r="I29" s="41" t="s">
        <v>115</v>
      </c>
      <c r="J29" s="86" t="s">
        <v>116</v>
      </c>
      <c r="K29" s="86" t="s">
        <v>117</v>
      </c>
      <c r="L29" s="87" t="s">
        <v>118</v>
      </c>
      <c r="M29" s="85" t="s">
        <v>119</v>
      </c>
      <c r="N29" s="41" t="s">
        <v>120</v>
      </c>
      <c r="O29" s="85" t="s">
        <v>121</v>
      </c>
      <c r="P29" s="85" t="s">
        <v>122</v>
      </c>
      <c r="Q29" s="88"/>
      <c r="R29" s="88"/>
      <c r="S29" s="88"/>
      <c r="IU29" s="82"/>
      <c r="IV29" s="82"/>
    </row>
    <row r="30" spans="2:16" ht="13.5">
      <c r="B30" s="90" t="s">
        <v>147</v>
      </c>
      <c r="C30" s="68" t="s">
        <v>148</v>
      </c>
      <c r="D30" s="2">
        <v>22</v>
      </c>
      <c r="E30" s="2">
        <v>260</v>
      </c>
      <c r="F30" s="2">
        <v>5</v>
      </c>
      <c r="G30" s="2">
        <f>SUM(F30*D30/1000)</f>
        <v>0.11</v>
      </c>
      <c r="H30" s="69">
        <v>0.046</v>
      </c>
      <c r="I30" s="70">
        <v>2</v>
      </c>
      <c r="J30" s="69">
        <v>13.7</v>
      </c>
      <c r="K30" s="69">
        <v>-0.183</v>
      </c>
      <c r="L30" s="71">
        <v>0.006880000000000001</v>
      </c>
      <c r="M30" s="91">
        <f>SUM((E30/1000*D30)*I30)</f>
        <v>11.440000000000001</v>
      </c>
      <c r="N30" s="72">
        <f>SUM((E30/1000*D30)*J30)</f>
        <v>78.364</v>
      </c>
      <c r="O30" s="73">
        <f>SUM((E30/1000*D30)*K30)</f>
        <v>-1.0467600000000001</v>
      </c>
      <c r="P30" s="92">
        <f>SUM((E30/1000*D30)*L30)</f>
        <v>0.03935360000000001</v>
      </c>
    </row>
    <row r="31" spans="2:16" ht="13.5">
      <c r="B31" s="90" t="s">
        <v>147</v>
      </c>
      <c r="C31" s="68" t="s">
        <v>148</v>
      </c>
      <c r="D31" s="2">
        <v>35</v>
      </c>
      <c r="E31" s="2">
        <v>260</v>
      </c>
      <c r="F31" s="2">
        <v>5</v>
      </c>
      <c r="G31" s="2">
        <f>SUM(F31*D31/1000)</f>
        <v>0.175</v>
      </c>
      <c r="H31" s="69">
        <v>0.046</v>
      </c>
      <c r="I31" s="70">
        <v>2</v>
      </c>
      <c r="J31" s="69">
        <v>13.7</v>
      </c>
      <c r="K31" s="69">
        <v>-0.183</v>
      </c>
      <c r="L31" s="71">
        <v>0.006880000000000001</v>
      </c>
      <c r="M31" s="91">
        <f>SUM((E31/1000*D31)*I31)</f>
        <v>18.2</v>
      </c>
      <c r="N31" s="72">
        <f>SUM((E31/1000*D31)*J31)</f>
        <v>124.66999999999999</v>
      </c>
      <c r="O31" s="73">
        <f>SUM((E31/1000*D31)*K31)</f>
        <v>-1.6653</v>
      </c>
      <c r="P31" s="92">
        <f>SUM((E31/1000*D31)*L31)</f>
        <v>0.062608</v>
      </c>
    </row>
    <row r="32" spans="2:16" ht="13.5">
      <c r="B32" s="90" t="s">
        <v>147</v>
      </c>
      <c r="C32" s="68" t="s">
        <v>148</v>
      </c>
      <c r="D32" s="2">
        <v>52</v>
      </c>
      <c r="E32" s="2">
        <v>260</v>
      </c>
      <c r="F32" s="2">
        <v>5</v>
      </c>
      <c r="G32" s="2">
        <f>SUM(F32*D32/1000)</f>
        <v>0.26</v>
      </c>
      <c r="H32" s="69">
        <v>0.046</v>
      </c>
      <c r="I32" s="70">
        <v>2</v>
      </c>
      <c r="J32" s="69">
        <v>13.7</v>
      </c>
      <c r="K32" s="69">
        <v>-0.183</v>
      </c>
      <c r="L32" s="71">
        <v>0.006880000000000001</v>
      </c>
      <c r="M32" s="91">
        <f>SUM((E32/1000*D32)*I32)</f>
        <v>27.04</v>
      </c>
      <c r="N32" s="72">
        <f>SUM((E32/1000*D32)*J32)</f>
        <v>185.224</v>
      </c>
      <c r="O32" s="73">
        <f>SUM((E32/1000*D32)*K32)</f>
        <v>-2.47416</v>
      </c>
      <c r="P32" s="92">
        <f>SUM((E32/1000*D32)*L32)</f>
        <v>0.0930176</v>
      </c>
    </row>
    <row r="33" spans="2:16" ht="13.5">
      <c r="B33" s="90" t="s">
        <v>149</v>
      </c>
      <c r="D33" s="2">
        <v>20</v>
      </c>
      <c r="E33" s="2">
        <v>500</v>
      </c>
      <c r="F33" s="2">
        <v>11</v>
      </c>
      <c r="G33" s="2">
        <f>SUM(F33*D33/1000)</f>
        <v>0.22</v>
      </c>
      <c r="H33" s="69">
        <v>0.13</v>
      </c>
      <c r="I33" s="70">
        <v>2</v>
      </c>
      <c r="J33" s="69">
        <v>3.22</v>
      </c>
      <c r="K33" s="69">
        <v>-1.6320000000000001</v>
      </c>
      <c r="L33" s="71">
        <v>0.0018300000000000002</v>
      </c>
      <c r="M33" s="91">
        <f>SUM((E33/1000*D33)*I33)</f>
        <v>20</v>
      </c>
      <c r="N33" s="72">
        <f>SUM((E33/1000*D33)*J33)</f>
        <v>32.2</v>
      </c>
      <c r="O33" s="73">
        <f>SUM((E33/1000*D33)*K33)</f>
        <v>-16.32</v>
      </c>
      <c r="P33" s="92">
        <f>SUM((E33/1000*D33)*L33)</f>
        <v>0.018300000000000004</v>
      </c>
    </row>
    <row r="34" spans="2:16" ht="13.5">
      <c r="B34" s="90" t="s">
        <v>150</v>
      </c>
      <c r="D34" s="2">
        <v>15</v>
      </c>
      <c r="E34" s="2">
        <v>780</v>
      </c>
      <c r="F34" s="2">
        <v>11</v>
      </c>
      <c r="G34" s="2">
        <f>SUM(F34*D34/1000)</f>
        <v>0.165</v>
      </c>
      <c r="H34" s="69">
        <v>0.08</v>
      </c>
      <c r="I34" s="70">
        <v>2</v>
      </c>
      <c r="J34" s="69">
        <v>11.9</v>
      </c>
      <c r="K34" s="69">
        <v>-1.04</v>
      </c>
      <c r="L34" s="71">
        <v>0.00413</v>
      </c>
      <c r="M34" s="91">
        <f>SUM((E34/1000*D34)*I34)</f>
        <v>23.400000000000002</v>
      </c>
      <c r="N34" s="72">
        <f>SUM((E34/1000*D34)*J34)</f>
        <v>139.23000000000002</v>
      </c>
      <c r="O34" s="73">
        <f>SUM((E34/1000*D34)*K34)</f>
        <v>-12.168000000000001</v>
      </c>
      <c r="P34" s="92">
        <f>SUM((E34/1000*D34)*L34)</f>
        <v>0.048321</v>
      </c>
    </row>
    <row r="35" spans="2:16" ht="13.5">
      <c r="B35" s="90" t="s">
        <v>151</v>
      </c>
      <c r="D35" s="2">
        <v>12</v>
      </c>
      <c r="E35" s="2">
        <v>660</v>
      </c>
      <c r="F35" s="2">
        <v>240</v>
      </c>
      <c r="G35" s="2">
        <f>SUM(F35*D35/1000)</f>
        <v>2.88</v>
      </c>
      <c r="H35" s="69">
        <v>0.13</v>
      </c>
      <c r="I35" s="70">
        <v>2</v>
      </c>
      <c r="J35" s="69">
        <v>9.32</v>
      </c>
      <c r="K35" s="69">
        <v>-1.168</v>
      </c>
      <c r="L35" s="71">
        <v>0.006030000000000001</v>
      </c>
      <c r="M35" s="91">
        <f>SUM((E35/1000*D35)*I35)</f>
        <v>15.84</v>
      </c>
      <c r="N35" s="72">
        <f>SUM((E35/1000*D35)*J35)</f>
        <v>73.8144</v>
      </c>
      <c r="O35" s="73">
        <f>SUM((E35/1000*D35)*K35)</f>
        <v>-9.25056</v>
      </c>
      <c r="P35" s="92">
        <f>SUM((E35/1000*D35)*L35)</f>
        <v>0.047757600000000004</v>
      </c>
    </row>
    <row r="36" spans="2:16" ht="13.5">
      <c r="B36" s="90" t="s">
        <v>152</v>
      </c>
      <c r="D36" s="2">
        <v>50</v>
      </c>
      <c r="E36" s="2">
        <v>500</v>
      </c>
      <c r="F36" s="2">
        <v>5</v>
      </c>
      <c r="G36" s="2">
        <f>SUM(F36*D36/1000)</f>
        <v>0.25</v>
      </c>
      <c r="H36" s="69">
        <v>0.1</v>
      </c>
      <c r="I36" s="70">
        <v>1</v>
      </c>
      <c r="J36" s="69">
        <v>4.24</v>
      </c>
      <c r="K36" s="69">
        <v>-0.098</v>
      </c>
      <c r="L36" s="71">
        <v>0.0011</v>
      </c>
      <c r="M36" s="91">
        <f>SUM((E36/1000*D36)*I36)</f>
        <v>25</v>
      </c>
      <c r="N36" s="72">
        <f>SUM((E36/1000*D36)*J36)</f>
        <v>106</v>
      </c>
      <c r="O36" s="73">
        <f>SUM((E36/1000*D36)*K36)</f>
        <v>-2.45</v>
      </c>
      <c r="P36" s="92">
        <f>SUM((E36/1000*D36)*L36)</f>
        <v>0.0275</v>
      </c>
    </row>
    <row r="37" spans="2:16" ht="13.5">
      <c r="B37" s="90" t="s">
        <v>153</v>
      </c>
      <c r="D37" s="2">
        <v>50</v>
      </c>
      <c r="E37" s="2">
        <v>400</v>
      </c>
      <c r="F37" s="2">
        <v>5</v>
      </c>
      <c r="G37" s="2">
        <f>SUM(F37*D37/1000)</f>
        <v>0.25</v>
      </c>
      <c r="H37" s="69">
        <v>0.1</v>
      </c>
      <c r="I37" s="70">
        <v>1</v>
      </c>
      <c r="J37" s="69">
        <v>2.4</v>
      </c>
      <c r="K37" s="69">
        <v>-0.14</v>
      </c>
      <c r="L37" s="71">
        <v>0.00102</v>
      </c>
      <c r="M37" s="91">
        <f>SUM((E37/1000*D37)*I37)</f>
        <v>20</v>
      </c>
      <c r="N37" s="72">
        <f>SUM((E37/1000*D37)*J37)</f>
        <v>48</v>
      </c>
      <c r="O37" s="73">
        <f>SUM((E37/1000*D37)*K37)</f>
        <v>-2.8000000000000003</v>
      </c>
      <c r="P37" s="92">
        <f>SUM((E37/1000*D37)*L37)</f>
        <v>0.0204</v>
      </c>
    </row>
    <row r="38" spans="2:16" ht="13.5">
      <c r="B38" s="90"/>
      <c r="M38" s="91"/>
      <c r="P38" s="92"/>
    </row>
    <row r="39" spans="1:256" s="105" customFormat="1" ht="51">
      <c r="A39" s="82"/>
      <c r="B39" s="96" t="s">
        <v>154</v>
      </c>
      <c r="C39" s="102" t="s">
        <v>109</v>
      </c>
      <c r="D39" s="103" t="s">
        <v>155</v>
      </c>
      <c r="E39" s="85" t="s">
        <v>111</v>
      </c>
      <c r="F39" s="85" t="s">
        <v>112</v>
      </c>
      <c r="G39" s="85" t="s">
        <v>113</v>
      </c>
      <c r="H39" s="85" t="s">
        <v>114</v>
      </c>
      <c r="I39" s="41" t="s">
        <v>115</v>
      </c>
      <c r="J39" s="86" t="s">
        <v>116</v>
      </c>
      <c r="K39" s="86" t="s">
        <v>117</v>
      </c>
      <c r="L39" s="87" t="s">
        <v>118</v>
      </c>
      <c r="M39" s="85" t="s">
        <v>119</v>
      </c>
      <c r="N39" s="41" t="s">
        <v>120</v>
      </c>
      <c r="O39" s="85" t="s">
        <v>121</v>
      </c>
      <c r="P39" s="85" t="s">
        <v>122</v>
      </c>
      <c r="Q39" s="104"/>
      <c r="R39" s="104"/>
      <c r="S39" s="104"/>
      <c r="IU39" s="82"/>
      <c r="IV39" s="82"/>
    </row>
    <row r="40" spans="1:256" s="105" customFormat="1" ht="13.5">
      <c r="A40" s="18"/>
      <c r="B40" s="106" t="s">
        <v>156</v>
      </c>
      <c r="C40" s="68"/>
      <c r="D40" s="2"/>
      <c r="E40" s="2"/>
      <c r="F40" s="2"/>
      <c r="G40" s="2"/>
      <c r="H40" s="69"/>
      <c r="I40" s="70"/>
      <c r="J40" s="69"/>
      <c r="K40" s="69"/>
      <c r="L40" s="71"/>
      <c r="M40" s="76"/>
      <c r="N40" s="77"/>
      <c r="O40" s="78"/>
      <c r="P40" s="79"/>
      <c r="Q40" s="107"/>
      <c r="R40" s="107"/>
      <c r="S40" s="107"/>
      <c r="T40" s="108"/>
      <c r="U40" s="108"/>
      <c r="V40" s="108"/>
      <c r="W40" s="108"/>
      <c r="IU40" s="82"/>
      <c r="IV40" s="82"/>
    </row>
    <row r="41" spans="1:256" s="105" customFormat="1" ht="13.5">
      <c r="A41" s="18"/>
      <c r="B41" s="109" t="s">
        <v>157</v>
      </c>
      <c r="C41" s="68"/>
      <c r="D41" s="110">
        <f>SUM(1/0.1*H41*1000)</f>
        <v>449.99999999999994</v>
      </c>
      <c r="E41" s="110">
        <v>105</v>
      </c>
      <c r="F41" s="110">
        <v>1000000</v>
      </c>
      <c r="G41" s="110">
        <f>SUM(F41*D41/1000)</f>
        <v>449999.99999999994</v>
      </c>
      <c r="H41" s="111">
        <v>0.045</v>
      </c>
      <c r="I41" s="112">
        <v>1</v>
      </c>
      <c r="J41" s="111">
        <v>15.7</v>
      </c>
      <c r="K41" s="111">
        <v>0.9430000000000001</v>
      </c>
      <c r="L41" s="113">
        <v>0.0022700000000000003</v>
      </c>
      <c r="M41" s="114">
        <f>SUM((E41/1000*D41)*I41)</f>
        <v>47.24999999999999</v>
      </c>
      <c r="N41" s="115">
        <f>SUM((E41/1000*D41)*J41)</f>
        <v>741.8249999999998</v>
      </c>
      <c r="O41" s="116">
        <f>SUM((E41/1000*D41)*K41)</f>
        <v>44.556749999999994</v>
      </c>
      <c r="P41" s="117">
        <f>SUM((E41/1000*D41)*L41)</f>
        <v>0.1072575</v>
      </c>
      <c r="Q41" s="107"/>
      <c r="R41" s="107"/>
      <c r="S41" s="107"/>
      <c r="T41" s="108"/>
      <c r="U41" s="108"/>
      <c r="V41" s="108"/>
      <c r="W41" s="108"/>
      <c r="IU41" s="82"/>
      <c r="IV41" s="82"/>
    </row>
    <row r="42" spans="1:256" s="105" customFormat="1" ht="13.5">
      <c r="A42" s="18"/>
      <c r="B42" s="109" t="s">
        <v>158</v>
      </c>
      <c r="C42" s="68"/>
      <c r="D42" s="110">
        <f>SUM(1/0.1*H42*1000)</f>
        <v>600</v>
      </c>
      <c r="E42" s="110">
        <v>450</v>
      </c>
      <c r="F42" s="110">
        <v>40</v>
      </c>
      <c r="G42" s="110">
        <f>SUM(F42*D42/1000)</f>
        <v>24</v>
      </c>
      <c r="H42" s="111">
        <v>0.06</v>
      </c>
      <c r="I42" s="112">
        <v>1.45</v>
      </c>
      <c r="J42" s="111">
        <v>98.5</v>
      </c>
      <c r="K42" s="111">
        <v>4.35</v>
      </c>
      <c r="L42" s="113">
        <v>0.0216</v>
      </c>
      <c r="M42" s="114">
        <f>SUM((E42/1000*D42)*I42)</f>
        <v>391.5</v>
      </c>
      <c r="N42" s="115">
        <f>SUM((E42/1000*D42)*J42)</f>
        <v>26595</v>
      </c>
      <c r="O42" s="116">
        <f>SUM((E42/1000*D42)*K42)</f>
        <v>1174.5</v>
      </c>
      <c r="P42" s="117">
        <f>SUM((E42/1000*D42)*L42)</f>
        <v>5.832000000000001</v>
      </c>
      <c r="Q42" s="107"/>
      <c r="R42" s="107"/>
      <c r="S42" s="107"/>
      <c r="T42" s="108"/>
      <c r="U42" s="108"/>
      <c r="V42" s="108"/>
      <c r="W42" s="108"/>
      <c r="IU42" s="82"/>
      <c r="IV42" s="82"/>
    </row>
    <row r="43" spans="1:256" s="105" customFormat="1" ht="13.5">
      <c r="A43" s="18"/>
      <c r="B43" s="109" t="s">
        <v>144</v>
      </c>
      <c r="C43" s="68"/>
      <c r="D43" s="110">
        <f>SUM(1/0.1*H43*1000)</f>
        <v>1100</v>
      </c>
      <c r="E43" s="110">
        <v>500</v>
      </c>
      <c r="F43" s="2">
        <v>15</v>
      </c>
      <c r="G43" s="2">
        <f>SUM(F43*D43/1000)</f>
        <v>16.5</v>
      </c>
      <c r="H43" s="69">
        <v>0.11</v>
      </c>
      <c r="I43" s="70">
        <v>1.116</v>
      </c>
      <c r="J43" s="69">
        <v>4.24</v>
      </c>
      <c r="K43" s="69">
        <v>0.47500000000000003</v>
      </c>
      <c r="L43" s="71">
        <v>0.00141</v>
      </c>
      <c r="M43" s="114">
        <f>SUM((E43/1000*D43)*I43)</f>
        <v>613.8000000000001</v>
      </c>
      <c r="N43" s="115">
        <f>SUM((E43/1000*D43)*J43)</f>
        <v>2332</v>
      </c>
      <c r="O43" s="116">
        <f>SUM((E43/1000*D43)*K43)</f>
        <v>261.25</v>
      </c>
      <c r="P43" s="117">
        <f>SUM((E43/1000*D43)*L43)</f>
        <v>0.7755</v>
      </c>
      <c r="Q43" s="107"/>
      <c r="R43" s="107"/>
      <c r="S43" s="107"/>
      <c r="T43" s="108"/>
      <c r="U43" s="108"/>
      <c r="V43" s="108"/>
      <c r="W43" s="108"/>
      <c r="IU43" s="82"/>
      <c r="IV43" s="82"/>
    </row>
    <row r="44" spans="1:256" s="105" customFormat="1" ht="13.5">
      <c r="A44" s="18"/>
      <c r="B44" s="109" t="s">
        <v>159</v>
      </c>
      <c r="C44" s="68"/>
      <c r="D44" s="110">
        <f>SUM(1/0.1*H44*1000)</f>
        <v>5300.000000000001</v>
      </c>
      <c r="E44" s="110">
        <v>1200</v>
      </c>
      <c r="F44" s="110">
        <v>1</v>
      </c>
      <c r="G44" s="110">
        <f>SUM(F44*D44/1000)</f>
        <v>5.300000000000001</v>
      </c>
      <c r="H44" s="111">
        <v>0.53</v>
      </c>
      <c r="I44" s="112">
        <v>1</v>
      </c>
      <c r="J44" s="111">
        <v>9.35</v>
      </c>
      <c r="K44" s="111">
        <v>0.493</v>
      </c>
      <c r="L44" s="113">
        <v>0.0016500000000000002</v>
      </c>
      <c r="M44" s="114">
        <f>SUM((E44/1000*D44)*I44)</f>
        <v>6360.000000000001</v>
      </c>
      <c r="N44" s="115">
        <f>SUM((E44/1000*D44)*J44)</f>
        <v>59466.00000000001</v>
      </c>
      <c r="O44" s="116">
        <f>SUM((E44/1000*D44)*K44)</f>
        <v>3135.4800000000005</v>
      </c>
      <c r="P44" s="117">
        <f>SUM((E44/1000*D44)*L44)</f>
        <v>10.494000000000003</v>
      </c>
      <c r="Q44" s="107"/>
      <c r="R44" s="107"/>
      <c r="S44" s="107"/>
      <c r="T44" s="108"/>
      <c r="U44" s="108"/>
      <c r="V44" s="108"/>
      <c r="W44" s="108"/>
      <c r="IU44" s="82"/>
      <c r="IV44" s="82"/>
    </row>
    <row r="45" spans="1:256" s="105" customFormat="1" ht="13.5">
      <c r="A45" s="18"/>
      <c r="B45" s="109" t="s">
        <v>160</v>
      </c>
      <c r="C45" s="68"/>
      <c r="D45" s="110">
        <f>SUM(1/0.1*H45*1000)</f>
        <v>350.00000000000006</v>
      </c>
      <c r="E45" s="110">
        <v>68</v>
      </c>
      <c r="F45" s="110">
        <v>1</v>
      </c>
      <c r="G45" s="110">
        <f>SUM(F45*D45/1000)</f>
        <v>0.35000000000000003</v>
      </c>
      <c r="H45" s="111">
        <v>0.035</v>
      </c>
      <c r="I45" s="112">
        <v>1.03</v>
      </c>
      <c r="J45" s="111">
        <v>49.8</v>
      </c>
      <c r="K45" s="111">
        <v>2.26</v>
      </c>
      <c r="L45" s="113">
        <v>0.016</v>
      </c>
      <c r="M45" s="114">
        <f>SUM((E45/1000*D45)*I45)</f>
        <v>24.514000000000006</v>
      </c>
      <c r="N45" s="115">
        <f>SUM((E45/1000*D45)*J45)</f>
        <v>1185.2400000000002</v>
      </c>
      <c r="O45" s="116">
        <f>SUM((E45/1000*D45)*K45)</f>
        <v>53.788000000000004</v>
      </c>
      <c r="P45" s="117">
        <f>SUM((E45/1000*D45)*L45)</f>
        <v>0.3808000000000001</v>
      </c>
      <c r="Q45" s="107"/>
      <c r="R45" s="107"/>
      <c r="S45" s="107"/>
      <c r="T45" s="108"/>
      <c r="U45" s="108"/>
      <c r="V45" s="108"/>
      <c r="W45" s="108"/>
      <c r="IU45" s="82"/>
      <c r="IV45" s="82"/>
    </row>
    <row r="46" spans="2:16" ht="13.5">
      <c r="B46" s="106" t="s">
        <v>161</v>
      </c>
      <c r="E46" s="76"/>
      <c r="M46" s="76"/>
      <c r="N46" s="77"/>
      <c r="O46" s="78"/>
      <c r="P46" s="79"/>
    </row>
    <row r="47" spans="2:16" ht="13.5">
      <c r="B47" s="97" t="s">
        <v>162</v>
      </c>
      <c r="D47" s="2">
        <f>SUM(1/0.1*H47*1000)</f>
        <v>400</v>
      </c>
      <c r="E47" s="76">
        <v>20</v>
      </c>
      <c r="F47" s="2">
        <v>40</v>
      </c>
      <c r="G47" s="2">
        <f>SUM(F47*D47/1000)</f>
        <v>16</v>
      </c>
      <c r="H47" s="69">
        <v>0.04</v>
      </c>
      <c r="I47" s="70">
        <v>1.45</v>
      </c>
      <c r="J47" s="69">
        <v>98.5</v>
      </c>
      <c r="K47" s="69">
        <v>3.35</v>
      </c>
      <c r="L47" s="71">
        <v>0.0216</v>
      </c>
      <c r="M47" s="91">
        <f>SUM((E47/1000*D47)*I47)</f>
        <v>11.6</v>
      </c>
      <c r="N47" s="72">
        <f>SUM((E47/1000*D47)*J47)</f>
        <v>788</v>
      </c>
      <c r="O47" s="73">
        <f>SUM((E47/1000*D47)*K47)</f>
        <v>26.8</v>
      </c>
      <c r="P47" s="92">
        <f>SUM((E47/1000*D47)*L47)</f>
        <v>0.1728</v>
      </c>
    </row>
    <row r="48" spans="2:16" ht="13.5">
      <c r="B48" s="97" t="s">
        <v>163</v>
      </c>
      <c r="D48" s="2">
        <f>SUM(1/0.1*H48*1000)</f>
        <v>400</v>
      </c>
      <c r="E48" s="76">
        <v>25</v>
      </c>
      <c r="F48" s="2">
        <v>40</v>
      </c>
      <c r="G48" s="2">
        <f>SUM(F48*D48/1000)</f>
        <v>16</v>
      </c>
      <c r="H48" s="69">
        <v>0.04</v>
      </c>
      <c r="I48" s="70">
        <v>1.45</v>
      </c>
      <c r="J48" s="69">
        <v>98.5</v>
      </c>
      <c r="K48" s="69">
        <v>4.35</v>
      </c>
      <c r="L48" s="71">
        <v>0.0216</v>
      </c>
      <c r="M48" s="91">
        <f>SUM((E48/1000*D48)*I48)</f>
        <v>14.5</v>
      </c>
      <c r="N48" s="72">
        <f>SUM((E48/1000*D48)*J48)</f>
        <v>985</v>
      </c>
      <c r="O48" s="73">
        <f>SUM((E48/1000*D48)*K48)</f>
        <v>43.5</v>
      </c>
      <c r="P48" s="92">
        <f>SUM((E48/1000*D48)*L48)</f>
        <v>0.21600000000000003</v>
      </c>
    </row>
    <row r="49" spans="2:16" ht="13.5">
      <c r="B49" s="97" t="s">
        <v>164</v>
      </c>
      <c r="D49" s="2">
        <f>SUM(1/0.1*H49*1000)</f>
        <v>600</v>
      </c>
      <c r="E49" s="76">
        <v>300</v>
      </c>
      <c r="G49" s="2">
        <f>SUM(F49*D49/1000)</f>
        <v>0</v>
      </c>
      <c r="H49" s="69">
        <v>0.06</v>
      </c>
      <c r="J49" s="69">
        <v>5.32</v>
      </c>
      <c r="K49" s="69">
        <v>0.58</v>
      </c>
      <c r="L49" s="71">
        <v>0.00141</v>
      </c>
      <c r="M49" s="91">
        <f>SUM((E49/1000*D49)*I49)</f>
        <v>0</v>
      </c>
      <c r="N49" s="72">
        <f>SUM((E49/1000*D49)*J49)</f>
        <v>957.6</v>
      </c>
      <c r="O49" s="73">
        <f>SUM((E49/1000*D49)*K49)</f>
        <v>104.39999999999999</v>
      </c>
      <c r="P49" s="92">
        <f>SUM((E49/1000*D49)*L49)</f>
        <v>0.2538</v>
      </c>
    </row>
    <row r="50" spans="2:16" ht="13.5">
      <c r="B50" s="97" t="s">
        <v>165</v>
      </c>
      <c r="D50" s="2">
        <f>SUM(1/0.1*H50*1000)</f>
        <v>530</v>
      </c>
      <c r="E50" s="76">
        <v>145</v>
      </c>
      <c r="F50" s="2">
        <v>1</v>
      </c>
      <c r="G50" s="2">
        <f>SUM(F50*D50/1000)</f>
        <v>0.53</v>
      </c>
      <c r="H50" s="69">
        <v>0.053</v>
      </c>
      <c r="I50" s="70">
        <v>1</v>
      </c>
      <c r="J50" s="69">
        <v>9.35</v>
      </c>
      <c r="K50" s="69">
        <v>0.493</v>
      </c>
      <c r="L50" s="71">
        <v>0.0016500000000000002</v>
      </c>
      <c r="M50" s="91">
        <f>SUM((E50/1000*D50)*I50)</f>
        <v>76.85</v>
      </c>
      <c r="N50" s="72">
        <f>SUM((E50/1000*D50)*J50)</f>
        <v>718.5474999999999</v>
      </c>
      <c r="O50" s="73">
        <f>SUM((E50/1000*D50)*K50)</f>
        <v>37.887049999999995</v>
      </c>
      <c r="P50" s="92">
        <f>SUM((E50/1000*D50)*L50)</f>
        <v>0.1268025</v>
      </c>
    </row>
    <row r="51" spans="2:16" ht="13.5">
      <c r="B51" s="97" t="s">
        <v>166</v>
      </c>
      <c r="D51" s="2">
        <f>SUM(1/0.1*H51*1000)</f>
        <v>350.00000000000006</v>
      </c>
      <c r="E51" s="76">
        <v>68</v>
      </c>
      <c r="F51" s="2">
        <v>1</v>
      </c>
      <c r="G51" s="2">
        <f>SUM(F51*D51/1000)</f>
        <v>0.35000000000000003</v>
      </c>
      <c r="H51" s="69">
        <v>0.035</v>
      </c>
      <c r="I51" s="70">
        <v>1.03</v>
      </c>
      <c r="J51" s="69">
        <v>49.8</v>
      </c>
      <c r="K51" s="69">
        <v>2.26</v>
      </c>
      <c r="L51" s="71">
        <v>0.016</v>
      </c>
      <c r="M51" s="91">
        <f>SUM((E51/1000*D51)*I51)</f>
        <v>24.514000000000006</v>
      </c>
      <c r="N51" s="72">
        <f>SUM((E51/1000*D51)*J51)</f>
        <v>1185.2400000000002</v>
      </c>
      <c r="O51" s="73">
        <f>SUM((E51/1000*D51)*K51)</f>
        <v>53.788000000000004</v>
      </c>
      <c r="P51" s="92">
        <f>SUM((E51/1000*D51)*L51)</f>
        <v>0.3808000000000001</v>
      </c>
    </row>
    <row r="52" spans="2:16" ht="13.5">
      <c r="B52" s="97" t="s">
        <v>167</v>
      </c>
      <c r="D52" s="2">
        <f>SUM(1/0.1*H52*1000)</f>
        <v>390</v>
      </c>
      <c r="E52" s="76">
        <v>104</v>
      </c>
      <c r="F52" s="2">
        <v>1</v>
      </c>
      <c r="G52" s="2">
        <f>SUM(F52*D52/1000)</f>
        <v>0.39</v>
      </c>
      <c r="H52" s="69">
        <v>0.039</v>
      </c>
      <c r="I52" s="70">
        <v>1.03</v>
      </c>
      <c r="J52" s="69">
        <v>23.3</v>
      </c>
      <c r="K52" s="69">
        <v>1.64</v>
      </c>
      <c r="L52" s="71">
        <v>0.0105</v>
      </c>
      <c r="M52" s="91">
        <f>SUM((E52/1000*D52)*I52)</f>
        <v>41.776799999999994</v>
      </c>
      <c r="N52" s="72">
        <f>SUM((E52/1000*D52)*J52)</f>
        <v>945.0479999999999</v>
      </c>
      <c r="O52" s="73">
        <f>SUM((E52/1000*D52)*K52)</f>
        <v>66.5184</v>
      </c>
      <c r="P52" s="92">
        <f>SUM((E52/1000*D52)*L52)</f>
        <v>0.42588</v>
      </c>
    </row>
    <row r="53" spans="2:16" ht="13.5">
      <c r="B53" s="97" t="s">
        <v>168</v>
      </c>
      <c r="D53" s="2">
        <f>SUM(1/0.1*H53*1000)</f>
        <v>320</v>
      </c>
      <c r="E53" s="76">
        <v>45</v>
      </c>
      <c r="F53" s="2">
        <v>70</v>
      </c>
      <c r="G53" s="2">
        <f>SUM(F53*D53/1000)</f>
        <v>22.4</v>
      </c>
      <c r="H53" s="69">
        <v>0.032</v>
      </c>
      <c r="I53" s="70">
        <v>1.45</v>
      </c>
      <c r="J53" s="69">
        <v>104</v>
      </c>
      <c r="K53" s="69">
        <v>81.3</v>
      </c>
      <c r="L53" s="71">
        <v>0.0247</v>
      </c>
      <c r="M53" s="91">
        <f>SUM((E53/1000*D53)*I53)</f>
        <v>20.88</v>
      </c>
      <c r="N53" s="72">
        <f>SUM((E53/1000*D53)*J53)</f>
        <v>1497.6</v>
      </c>
      <c r="O53" s="73">
        <f>SUM((E53/1000*D53)*K53)</f>
        <v>1170.7199999999998</v>
      </c>
      <c r="P53" s="92">
        <f>SUM((E53/1000*D53)*L53)</f>
        <v>0.35567999999999994</v>
      </c>
    </row>
    <row r="54" spans="2:16" ht="13.5">
      <c r="B54" s="97" t="s">
        <v>169</v>
      </c>
      <c r="D54" s="2">
        <f>SUM(1/0.1*H54*1000)</f>
        <v>400</v>
      </c>
      <c r="E54" s="76">
        <v>38</v>
      </c>
      <c r="F54" s="2">
        <v>70</v>
      </c>
      <c r="G54" s="2">
        <f>SUM(F54*D54/1000)</f>
        <v>28</v>
      </c>
      <c r="H54" s="69">
        <v>0.04</v>
      </c>
      <c r="I54" s="70">
        <v>1.45</v>
      </c>
      <c r="J54" s="69">
        <v>102</v>
      </c>
      <c r="K54" s="69">
        <v>3.44</v>
      </c>
      <c r="L54" s="71">
        <v>0.0211</v>
      </c>
      <c r="M54" s="91">
        <f>SUM((E54/1000*D54)*I54)</f>
        <v>22.04</v>
      </c>
      <c r="N54" s="72">
        <f>SUM((E54/1000*D54)*J54)</f>
        <v>1550.3999999999999</v>
      </c>
      <c r="O54" s="73">
        <f>SUM((E54/1000*D54)*K54)</f>
        <v>52.288</v>
      </c>
      <c r="P54" s="92">
        <f>SUM((E54/1000*D54)*L54)</f>
        <v>0.32072</v>
      </c>
    </row>
    <row r="55" spans="2:16" ht="13.5">
      <c r="B55" s="97" t="s">
        <v>170</v>
      </c>
      <c r="D55" s="2">
        <f>SUM(1/0.1*H55*1000)</f>
        <v>800</v>
      </c>
      <c r="E55" s="76">
        <v>136.5</v>
      </c>
      <c r="F55" s="2">
        <v>5</v>
      </c>
      <c r="G55" s="2">
        <f>SUM(F55*D55/1000)</f>
        <v>4</v>
      </c>
      <c r="H55" s="69">
        <v>0.08</v>
      </c>
      <c r="I55" s="70">
        <v>1</v>
      </c>
      <c r="J55" s="69">
        <v>6.67</v>
      </c>
      <c r="K55" s="69">
        <v>0.34800000000000003</v>
      </c>
      <c r="L55" s="71">
        <v>0.00133</v>
      </c>
      <c r="M55" s="91">
        <f>SUM((E55/1000*D55)*I55)</f>
        <v>109.2</v>
      </c>
      <c r="N55" s="72">
        <f>SUM((E55/1000*D55)*J55)</f>
        <v>728.364</v>
      </c>
      <c r="O55" s="73">
        <f>SUM((E55/1000*D55)*K55)</f>
        <v>38.0016</v>
      </c>
      <c r="P55" s="92">
        <f>SUM((E55/1000*D55)*L55)</f>
        <v>0.145236</v>
      </c>
    </row>
    <row r="56" spans="2:16" ht="13.5">
      <c r="B56" s="106" t="s">
        <v>171</v>
      </c>
      <c r="E56" s="76"/>
      <c r="G56" s="2">
        <f>SUM(F56*D56/1000)</f>
        <v>0</v>
      </c>
      <c r="M56" s="77"/>
      <c r="N56" s="77"/>
      <c r="O56" s="78"/>
      <c r="P56" s="79"/>
    </row>
    <row r="57" spans="2:16" ht="13.5">
      <c r="B57" s="97" t="s">
        <v>172</v>
      </c>
      <c r="C57" s="68" t="s">
        <v>173</v>
      </c>
      <c r="D57" s="2">
        <f>SUM(1/0.1*H57*1000)</f>
        <v>380</v>
      </c>
      <c r="E57" s="76">
        <v>18</v>
      </c>
      <c r="F57" s="2">
        <v>40</v>
      </c>
      <c r="G57" s="2">
        <f>SUM(F57*D57/1000)</f>
        <v>15.2</v>
      </c>
      <c r="H57" s="69">
        <v>0.038</v>
      </c>
      <c r="I57" s="70">
        <v>1.45</v>
      </c>
      <c r="J57" s="69">
        <v>98.5</v>
      </c>
      <c r="K57" s="69">
        <v>3.35</v>
      </c>
      <c r="L57" s="71">
        <v>0.0216</v>
      </c>
      <c r="M57" s="91">
        <f>SUM((E57/1000*D57)*I57)</f>
        <v>9.918</v>
      </c>
      <c r="N57" s="72">
        <f>SUM((E57/1000*D57)*J57)</f>
        <v>673.74</v>
      </c>
      <c r="O57" s="73">
        <f>SUM((E57/1000*D57)*K57)</f>
        <v>22.914</v>
      </c>
      <c r="P57" s="92">
        <f>SUM((E57/1000*D57)*L57)</f>
        <v>0.14774400000000001</v>
      </c>
    </row>
    <row r="58" spans="2:16" ht="13.5">
      <c r="B58" s="97" t="s">
        <v>174</v>
      </c>
      <c r="C58" s="68" t="s">
        <v>175</v>
      </c>
      <c r="D58" s="2">
        <f>SUM(1/0.1*H58*1000)</f>
        <v>320</v>
      </c>
      <c r="E58" s="76">
        <v>15</v>
      </c>
      <c r="F58" s="2">
        <v>40</v>
      </c>
      <c r="G58" s="2">
        <f>SUM(F58*D58/1000)</f>
        <v>12.8</v>
      </c>
      <c r="H58" s="69">
        <v>0.032</v>
      </c>
      <c r="I58" s="70">
        <v>1.45</v>
      </c>
      <c r="J58" s="69">
        <v>98.5</v>
      </c>
      <c r="K58" s="69">
        <v>3.35</v>
      </c>
      <c r="L58" s="71">
        <v>0.0216</v>
      </c>
      <c r="M58" s="91">
        <f>SUM((E58/1000*D58)*I58)</f>
        <v>6.96</v>
      </c>
      <c r="N58" s="72">
        <f>SUM((E58/1000*D58)*J58)</f>
        <v>472.79999999999995</v>
      </c>
      <c r="O58" s="73">
        <f>SUM((E58/1000*D58)*K58)</f>
        <v>16.08</v>
      </c>
      <c r="P58" s="92">
        <f>SUM((E58/1000*D58)*L58)</f>
        <v>0.10368000000000001</v>
      </c>
    </row>
    <row r="59" spans="2:16" ht="13.5">
      <c r="B59" s="97" t="s">
        <v>176</v>
      </c>
      <c r="D59" s="2">
        <f>SUM(1/0.1*H59*1000)</f>
        <v>350.00000000000006</v>
      </c>
      <c r="E59" s="76">
        <v>68</v>
      </c>
      <c r="F59" s="2">
        <v>1</v>
      </c>
      <c r="G59" s="2">
        <f>SUM(F59*D59/1000)</f>
        <v>0.35000000000000003</v>
      </c>
      <c r="H59" s="69">
        <v>0.035</v>
      </c>
      <c r="I59" s="70">
        <v>1.03</v>
      </c>
      <c r="J59" s="69">
        <v>49.8</v>
      </c>
      <c r="K59" s="69">
        <v>2.26</v>
      </c>
      <c r="L59" s="71">
        <v>0.00133</v>
      </c>
      <c r="M59" s="91">
        <f>SUM((E59/1000*D59)*I59)</f>
        <v>24.514000000000006</v>
      </c>
      <c r="N59" s="72">
        <f>SUM((E59/1000*D59)*J59)</f>
        <v>1185.2400000000002</v>
      </c>
      <c r="O59" s="73">
        <f>SUM((E59/1000*D59)*K59)</f>
        <v>53.788000000000004</v>
      </c>
      <c r="P59" s="92">
        <f>SUM((E59/1000*D59)*L59)</f>
        <v>0.03165400000000001</v>
      </c>
    </row>
    <row r="60" spans="2:16" ht="13.5">
      <c r="B60" s="97" t="s">
        <v>177</v>
      </c>
      <c r="C60" s="68" t="s">
        <v>178</v>
      </c>
      <c r="D60" s="2">
        <f>SUM(1/0.1*H60*1000)</f>
        <v>400</v>
      </c>
      <c r="E60" s="76">
        <v>147</v>
      </c>
      <c r="F60" s="2">
        <v>2.5</v>
      </c>
      <c r="G60" s="2">
        <f>SUM(F60*D60/1000)</f>
        <v>1</v>
      </c>
      <c r="H60" s="69">
        <v>0.04</v>
      </c>
      <c r="I60" s="70">
        <v>0.83</v>
      </c>
      <c r="J60" s="69">
        <v>23.3</v>
      </c>
      <c r="K60" s="69">
        <v>1.64</v>
      </c>
      <c r="L60" s="71">
        <v>0.0105</v>
      </c>
      <c r="M60" s="91">
        <f>SUM((E60/1000*D60)*I60)</f>
        <v>48.804</v>
      </c>
      <c r="N60" s="72">
        <f>SUM((E60/1000*D60)*J60)</f>
        <v>1370.04</v>
      </c>
      <c r="O60" s="73">
        <f>SUM((E60/1000*D60)*K60)</f>
        <v>96.432</v>
      </c>
      <c r="P60" s="92">
        <f>SUM((E60/1000*D60)*L60)</f>
        <v>0.6174000000000001</v>
      </c>
    </row>
    <row r="61" spans="2:16" ht="13.5">
      <c r="B61" s="97" t="s">
        <v>179</v>
      </c>
      <c r="C61" s="68" t="s">
        <v>180</v>
      </c>
      <c r="D61" s="2">
        <f>SUM(1/0.1*H61*1000)</f>
        <v>449.99999999999994</v>
      </c>
      <c r="E61" s="2">
        <v>115</v>
      </c>
      <c r="F61" s="2">
        <v>5</v>
      </c>
      <c r="G61" s="2">
        <f>SUM(F61*D61/1000)</f>
        <v>2.2499999999999996</v>
      </c>
      <c r="H61" s="69">
        <v>0.045</v>
      </c>
      <c r="I61" s="70">
        <v>1.03</v>
      </c>
      <c r="J61" s="69">
        <v>4.77</v>
      </c>
      <c r="K61" s="69">
        <v>0.47400000000000003</v>
      </c>
      <c r="L61" s="71">
        <v>0.00111</v>
      </c>
      <c r="M61" s="91">
        <f>SUM((E61/1000*D61)*I61)</f>
        <v>53.302499999999995</v>
      </c>
      <c r="N61" s="72">
        <f>SUM((E61/1000*D61)*J61)</f>
        <v>246.84749999999994</v>
      </c>
      <c r="O61" s="73">
        <f>SUM((E61/1000*D61)*K61)</f>
        <v>24.5295</v>
      </c>
      <c r="P61" s="92">
        <f>SUM((E61/1000*D61)*L61)</f>
        <v>0.057442499999999994</v>
      </c>
    </row>
    <row r="62" spans="2:16" ht="13.5">
      <c r="B62" s="109" t="s">
        <v>181</v>
      </c>
      <c r="D62" s="2">
        <f>SUM(1/0.1*H62*1000)</f>
        <v>80</v>
      </c>
      <c r="E62" s="2">
        <v>190</v>
      </c>
      <c r="F62" s="2">
        <v>1000000</v>
      </c>
      <c r="G62" s="2">
        <f>SUM(F62*D62/1000)</f>
        <v>80000</v>
      </c>
      <c r="H62" s="78">
        <v>0.008</v>
      </c>
      <c r="I62" s="70">
        <v>1</v>
      </c>
      <c r="J62" s="69">
        <v>62.1</v>
      </c>
      <c r="K62" s="69">
        <v>3.43</v>
      </c>
      <c r="L62" s="71">
        <v>0.01</v>
      </c>
      <c r="M62" s="91">
        <f>SUM((E62/1000*D62)*I62)</f>
        <v>15.2</v>
      </c>
      <c r="N62" s="72">
        <f>SUM((E62/1000*D62)*J62)</f>
        <v>943.92</v>
      </c>
      <c r="O62" s="73">
        <f>SUM((E62/1000*D62)*K62)</f>
        <v>52.136</v>
      </c>
      <c r="P62" s="92">
        <f>SUM((E62/1000*D62)*L62)</f>
        <v>0.152</v>
      </c>
    </row>
    <row r="63" spans="2:16" ht="13.5">
      <c r="B63" s="97" t="s">
        <v>182</v>
      </c>
      <c r="D63" s="2">
        <f>SUM(1/0.1*H63*1000)</f>
        <v>400</v>
      </c>
      <c r="E63" s="2">
        <v>120</v>
      </c>
      <c r="F63" s="2">
        <v>18</v>
      </c>
      <c r="G63" s="2">
        <f>SUM(F63*D63/1000)</f>
        <v>7.2</v>
      </c>
      <c r="H63" s="69">
        <v>0.04</v>
      </c>
      <c r="I63" s="70">
        <v>1.67</v>
      </c>
      <c r="J63" s="69">
        <v>7.1</v>
      </c>
      <c r="K63" s="69">
        <v>-1.23</v>
      </c>
      <c r="L63" s="71">
        <v>0.0027400000000000002</v>
      </c>
      <c r="M63" s="91">
        <f>SUM((E63/1000*D63)*I63)</f>
        <v>80.16</v>
      </c>
      <c r="N63" s="72">
        <f>SUM((E63/1000*D63)*J63)</f>
        <v>340.79999999999995</v>
      </c>
      <c r="O63" s="73">
        <f>SUM((E63/1000*D63)*K63)</f>
        <v>-59.04</v>
      </c>
      <c r="P63" s="92">
        <f>SUM((E63/1000*D63)*L63)</f>
        <v>0.13152000000000003</v>
      </c>
    </row>
    <row r="64" spans="2:16" ht="13.5">
      <c r="B64" s="106" t="s">
        <v>183</v>
      </c>
      <c r="C64" s="2"/>
      <c r="G64" s="2">
        <f>SUM(F64*D64/1000)</f>
        <v>0</v>
      </c>
      <c r="H64" s="2"/>
      <c r="M64" s="77"/>
      <c r="N64" s="77"/>
      <c r="O64" s="78"/>
      <c r="P64" s="79"/>
    </row>
    <row r="65" spans="2:16" ht="13.5">
      <c r="B65" s="97" t="s">
        <v>184</v>
      </c>
      <c r="D65" s="2">
        <f>SUM(1/0.1*H65*1000)</f>
        <v>360.00000000000006</v>
      </c>
      <c r="E65" s="2">
        <v>25</v>
      </c>
      <c r="F65" s="2">
        <v>1</v>
      </c>
      <c r="G65" s="2">
        <f>SUM(F65*D65/1000)</f>
        <v>0.36000000000000004</v>
      </c>
      <c r="H65" s="69">
        <v>0.036000000000000004</v>
      </c>
      <c r="I65" s="70">
        <v>1.03</v>
      </c>
      <c r="J65" s="69">
        <v>49.8</v>
      </c>
      <c r="K65" s="69">
        <v>2.26</v>
      </c>
      <c r="L65" s="71">
        <v>0.016</v>
      </c>
      <c r="M65" s="91">
        <f>SUM((E65/1000*D65)*I65)</f>
        <v>9.270000000000001</v>
      </c>
      <c r="N65" s="72">
        <f>SUM((E65/1000*D65)*J65)</f>
        <v>448.20000000000005</v>
      </c>
      <c r="O65" s="73">
        <f>SUM((E65/1000*D65)*K65)</f>
        <v>20.340000000000003</v>
      </c>
      <c r="P65" s="92">
        <f>SUM((E65/1000*D65)*L65)</f>
        <v>0.14400000000000004</v>
      </c>
    </row>
    <row r="66" spans="2:16" ht="13.5">
      <c r="B66" s="97" t="s">
        <v>185</v>
      </c>
      <c r="D66" s="2">
        <f>SUM(1/0.1*H66*1000)</f>
        <v>400</v>
      </c>
      <c r="E66" s="2">
        <v>33</v>
      </c>
      <c r="F66" s="2">
        <v>1</v>
      </c>
      <c r="G66" s="2">
        <f>SUM(F66*D66/1000)</f>
        <v>0.4</v>
      </c>
      <c r="H66" s="69">
        <v>0.04</v>
      </c>
      <c r="I66" s="70">
        <v>0.83</v>
      </c>
      <c r="J66" s="69">
        <v>23.3</v>
      </c>
      <c r="K66" s="69">
        <v>1.64</v>
      </c>
      <c r="L66" s="71">
        <v>0.0105</v>
      </c>
      <c r="M66" s="91">
        <f>SUM((E66/1000*D66)*I66)</f>
        <v>10.956000000000001</v>
      </c>
      <c r="N66" s="72">
        <f>SUM((E66/1000*D66)*J66)</f>
        <v>307.56000000000006</v>
      </c>
      <c r="O66" s="73">
        <f>SUM((E66/1000*D66)*K66)</f>
        <v>21.648000000000003</v>
      </c>
      <c r="P66" s="92">
        <f>SUM((E66/1000*D66)*L66)</f>
        <v>0.13860000000000003</v>
      </c>
    </row>
    <row r="67" spans="1:16" ht="13.5">
      <c r="A67" t="s">
        <v>104</v>
      </c>
      <c r="B67" s="109" t="s">
        <v>186</v>
      </c>
      <c r="D67" s="2">
        <f>SUM(1/0.1*H67*1000)</f>
        <v>400</v>
      </c>
      <c r="E67" s="2">
        <v>65</v>
      </c>
      <c r="F67" s="2">
        <v>1</v>
      </c>
      <c r="G67" s="2">
        <f>SUM(F67*D67/1000)</f>
        <v>0.4</v>
      </c>
      <c r="H67" s="69">
        <v>0.04</v>
      </c>
      <c r="I67" s="70">
        <v>0.83</v>
      </c>
      <c r="J67" s="69">
        <v>22.1</v>
      </c>
      <c r="K67" s="69">
        <v>1.6</v>
      </c>
      <c r="L67" s="71">
        <v>0.0103</v>
      </c>
      <c r="M67" s="91">
        <f>SUM((E67/1000*D67)*I67)</f>
        <v>21.580000000000002</v>
      </c>
      <c r="N67" s="72">
        <f>SUM((E67/1000*D67)*J67)</f>
        <v>574.6</v>
      </c>
      <c r="O67" s="73">
        <f>SUM((E67/1000*D67)*K67)</f>
        <v>41.6</v>
      </c>
      <c r="P67" s="92">
        <f>SUM((E67/1000*D67)*L67)</f>
        <v>0.2678</v>
      </c>
    </row>
    <row r="68" spans="2:16" ht="13.5">
      <c r="B68" s="97" t="s">
        <v>187</v>
      </c>
      <c r="D68" s="2">
        <f>SUM(1/0.1*H68*1000)</f>
        <v>500</v>
      </c>
      <c r="E68" s="2">
        <v>85</v>
      </c>
      <c r="F68" s="2">
        <v>1</v>
      </c>
      <c r="G68" s="2">
        <f>SUM(F68*D68/1000)</f>
        <v>0.5</v>
      </c>
      <c r="H68" s="69">
        <v>0.05</v>
      </c>
      <c r="I68" s="70">
        <v>1</v>
      </c>
      <c r="J68" s="69">
        <v>9.35</v>
      </c>
      <c r="K68" s="69">
        <v>0.493</v>
      </c>
      <c r="L68" s="71">
        <v>0.0016500000000000002</v>
      </c>
      <c r="M68" s="91">
        <f>SUM((E68/1000*D68)*I68)</f>
        <v>42.5</v>
      </c>
      <c r="N68" s="72">
        <f>SUM((E68/1000*D68)*J68)</f>
        <v>397.375</v>
      </c>
      <c r="O68" s="73">
        <f>SUM((E68/1000*D68)*K68)</f>
        <v>20.9525</v>
      </c>
      <c r="P68" s="92">
        <f>SUM((E68/1000*D68)*L68)</f>
        <v>0.070125</v>
      </c>
    </row>
    <row r="69" spans="2:16" ht="13.5">
      <c r="B69" s="97" t="s">
        <v>188</v>
      </c>
      <c r="D69" s="2">
        <f>SUM(1/0.1*H69*1000)</f>
        <v>1600</v>
      </c>
      <c r="E69" s="2">
        <v>400</v>
      </c>
      <c r="F69" s="2">
        <v>5</v>
      </c>
      <c r="G69" s="2">
        <f>SUM(F69*D69/1000)</f>
        <v>8</v>
      </c>
      <c r="H69" s="69">
        <v>0.16</v>
      </c>
      <c r="I69" s="70">
        <v>0.9</v>
      </c>
      <c r="J69" s="69">
        <v>2.45</v>
      </c>
      <c r="K69" s="69">
        <v>0.333</v>
      </c>
      <c r="L69" s="71">
        <v>0.00215</v>
      </c>
      <c r="M69" s="91">
        <f>SUM((E69/1000*D69)*I69)</f>
        <v>576</v>
      </c>
      <c r="N69" s="72">
        <f>SUM((E69/1000*D69)*J69)</f>
        <v>1568</v>
      </c>
      <c r="O69" s="73">
        <f>SUM((E69/1000*D69)*K69)</f>
        <v>213.12</v>
      </c>
      <c r="P69" s="92">
        <f>SUM((E69/1000*D69)*L69)</f>
        <v>1.376</v>
      </c>
    </row>
    <row r="70" spans="2:16" ht="13.5">
      <c r="B70" s="97" t="s">
        <v>189</v>
      </c>
      <c r="D70" s="2">
        <f>SUM(1/0.1*H70*1000)</f>
        <v>380</v>
      </c>
      <c r="E70" s="2">
        <v>35</v>
      </c>
      <c r="F70" s="2">
        <v>2</v>
      </c>
      <c r="G70" s="2">
        <f>SUM(F70*D70/1000)</f>
        <v>0.76</v>
      </c>
      <c r="H70" s="69">
        <v>0.038</v>
      </c>
      <c r="I70" s="70">
        <v>1.9</v>
      </c>
      <c r="J70" s="69">
        <v>7.03</v>
      </c>
      <c r="K70" s="69">
        <v>-0.907</v>
      </c>
      <c r="L70" s="71">
        <v>0.0034100000000000003</v>
      </c>
      <c r="M70" s="91">
        <f>SUM((E70/1000*D70)*I70)</f>
        <v>25.27</v>
      </c>
      <c r="N70" s="72">
        <f>SUM((E70/1000*D70)*J70)</f>
        <v>93.49900000000001</v>
      </c>
      <c r="O70" s="73">
        <f>SUM((E70/1000*D70)*K70)</f>
        <v>-12.0631</v>
      </c>
      <c r="P70" s="92">
        <f>SUM((E70/1000*D70)*L70)</f>
        <v>0.045353000000000004</v>
      </c>
    </row>
    <row r="71" spans="2:16" ht="13.5">
      <c r="B71" s="97" t="s">
        <v>190</v>
      </c>
      <c r="D71" s="2">
        <f>SUM(1/0.1*H71*1000)</f>
        <v>380</v>
      </c>
      <c r="E71" s="2">
        <v>50</v>
      </c>
      <c r="F71" s="2">
        <v>2</v>
      </c>
      <c r="G71" s="2">
        <f>SUM(F71*D71/1000)</f>
        <v>0.76</v>
      </c>
      <c r="H71" s="69">
        <v>0.038</v>
      </c>
      <c r="I71" s="70">
        <v>1.9</v>
      </c>
      <c r="J71" s="69">
        <v>7.03</v>
      </c>
      <c r="K71" s="69">
        <v>-0.907</v>
      </c>
      <c r="L71" s="71">
        <v>0.0034100000000000003</v>
      </c>
      <c r="M71" s="91">
        <f>SUM((E71/1000*D71)*I71)</f>
        <v>36.1</v>
      </c>
      <c r="N71" s="72">
        <f>SUM((E71/1000*D71)*J71)</f>
        <v>133.57</v>
      </c>
      <c r="O71" s="73">
        <f>SUM((E71/1000*D71)*K71)</f>
        <v>-17.233</v>
      </c>
      <c r="P71" s="92">
        <f>SUM((E71/1000*D71)*L71)</f>
        <v>0.06479</v>
      </c>
    </row>
    <row r="72" spans="2:16" ht="13.5">
      <c r="B72" s="97" t="s">
        <v>191</v>
      </c>
      <c r="D72" s="2">
        <f>SUM(1/0.1*H72*1000)</f>
        <v>380</v>
      </c>
      <c r="E72" s="2">
        <v>65</v>
      </c>
      <c r="F72" s="2">
        <v>2</v>
      </c>
      <c r="G72" s="2">
        <f>SUM(F72*D72/1000)</f>
        <v>0.76</v>
      </c>
      <c r="H72" s="69">
        <v>0.038</v>
      </c>
      <c r="I72" s="70">
        <v>1.9</v>
      </c>
      <c r="J72" s="69">
        <v>7.03</v>
      </c>
      <c r="K72" s="69">
        <v>-0.907</v>
      </c>
      <c r="L72" s="71">
        <v>0.0034100000000000003</v>
      </c>
      <c r="M72" s="91">
        <f>SUM((E72/1000*D72)*I72)</f>
        <v>46.93</v>
      </c>
      <c r="N72" s="72">
        <f>SUM((E72/1000*D72)*J72)</f>
        <v>173.641</v>
      </c>
      <c r="O72" s="73">
        <f>SUM((E72/1000*D72)*K72)</f>
        <v>-22.4029</v>
      </c>
      <c r="P72" s="92">
        <f>SUM((E72/1000*D72)*L72)</f>
        <v>0.08422700000000001</v>
      </c>
    </row>
    <row r="73" spans="2:16" ht="13.5">
      <c r="B73" s="97" t="s">
        <v>192</v>
      </c>
      <c r="D73" s="2">
        <f>SUM(1/0.1*H73*1000)</f>
        <v>400</v>
      </c>
      <c r="E73" s="2">
        <v>30</v>
      </c>
      <c r="F73" s="2">
        <v>2</v>
      </c>
      <c r="G73" s="2">
        <f>SUM(F73*D73/1000)</f>
        <v>0.8</v>
      </c>
      <c r="H73" s="69">
        <v>0.04</v>
      </c>
      <c r="I73" s="70">
        <v>1.55</v>
      </c>
      <c r="J73" s="69">
        <v>31.1</v>
      </c>
      <c r="K73" s="69">
        <v>-0.133</v>
      </c>
      <c r="L73" s="71">
        <v>0.005390000000000001</v>
      </c>
      <c r="M73" s="91">
        <f>SUM((E73/1000*D73)*I73)</f>
        <v>18.6</v>
      </c>
      <c r="N73" s="72">
        <f>SUM((E73/1000*D73)*J73)</f>
        <v>373.20000000000005</v>
      </c>
      <c r="O73" s="73">
        <f>SUM((E73/1000*D73)*K73)</f>
        <v>-1.596</v>
      </c>
      <c r="P73" s="92">
        <f>SUM((E73/1000*D73)*L73)</f>
        <v>0.06468000000000002</v>
      </c>
    </row>
    <row r="74" spans="2:16" ht="13.5">
      <c r="B74" s="97" t="s">
        <v>193</v>
      </c>
      <c r="D74" s="2">
        <f>SUM(1/0.1*H74*1000)</f>
        <v>400</v>
      </c>
      <c r="E74" s="2">
        <v>30</v>
      </c>
      <c r="F74" s="2">
        <v>2</v>
      </c>
      <c r="G74" s="2">
        <f>SUM(F74*D74/1000)</f>
        <v>0.8</v>
      </c>
      <c r="H74" s="69">
        <v>0.04</v>
      </c>
      <c r="I74" s="70">
        <v>1.55</v>
      </c>
      <c r="J74" s="69">
        <v>27.1</v>
      </c>
      <c r="K74" s="69">
        <v>-0.377</v>
      </c>
      <c r="L74" s="71">
        <v>0.004370000000000001</v>
      </c>
      <c r="M74" s="91">
        <f>SUM((E74/1000*D74)*I74)</f>
        <v>18.6</v>
      </c>
      <c r="N74" s="72">
        <f>SUM((E74/1000*D74)*J74)</f>
        <v>325.20000000000005</v>
      </c>
      <c r="O74" s="73">
        <f>SUM((E74/1000*D74)*K74)</f>
        <v>-4.524</v>
      </c>
      <c r="P74" s="92">
        <f>SUM((E74/1000*D74)*L74)</f>
        <v>0.05244000000000001</v>
      </c>
    </row>
    <row r="75" spans="2:16" ht="13.5">
      <c r="B75" s="97" t="s">
        <v>194</v>
      </c>
      <c r="D75" s="2">
        <f>SUM(1/0.1*H75*1000)</f>
        <v>400</v>
      </c>
      <c r="E75" s="2">
        <v>30</v>
      </c>
      <c r="F75" s="2">
        <v>1</v>
      </c>
      <c r="G75" s="2">
        <f>SUM(F75*D75/1000)</f>
        <v>0.4</v>
      </c>
      <c r="H75" s="69">
        <v>0.04</v>
      </c>
      <c r="I75" s="70">
        <v>1.55</v>
      </c>
      <c r="J75" s="69">
        <v>38</v>
      </c>
      <c r="K75" s="69">
        <v>0.364</v>
      </c>
      <c r="L75" s="71">
        <v>0.008740000000000001</v>
      </c>
      <c r="M75" s="91">
        <f>SUM((E75/1000*D75)*I75)</f>
        <v>18.6</v>
      </c>
      <c r="N75" s="72">
        <f>SUM((E75/1000*D75)*J75)</f>
        <v>456</v>
      </c>
      <c r="O75" s="73">
        <f>SUM((E75/1000*D75)*K75)</f>
        <v>4.368</v>
      </c>
      <c r="P75" s="92">
        <f>SUM((E75/1000*D75)*L75)</f>
        <v>0.10488000000000001</v>
      </c>
    </row>
    <row r="76" spans="2:16" ht="13.5">
      <c r="B76" s="97" t="s">
        <v>195</v>
      </c>
      <c r="D76" s="2">
        <f>SUM(1/0.1*H76*1000)</f>
        <v>400</v>
      </c>
      <c r="E76" s="2">
        <v>30</v>
      </c>
      <c r="F76" s="2">
        <v>1</v>
      </c>
      <c r="G76" s="2">
        <f>SUM(F76*D76/1000)</f>
        <v>0.4</v>
      </c>
      <c r="H76" s="69">
        <v>0.04</v>
      </c>
      <c r="I76" s="70">
        <v>1.55</v>
      </c>
      <c r="J76" s="69">
        <v>34</v>
      </c>
      <c r="K76" s="69">
        <v>0.121</v>
      </c>
      <c r="L76" s="71">
        <v>0.00772</v>
      </c>
      <c r="M76" s="91">
        <f>SUM((E76/1000*D76)*I76)</f>
        <v>18.6</v>
      </c>
      <c r="N76" s="72">
        <f>SUM((E76/1000*D76)*J76)</f>
        <v>408</v>
      </c>
      <c r="O76" s="73">
        <f>SUM((E76/1000*D76)*K76)</f>
        <v>1.452</v>
      </c>
      <c r="P76" s="92">
        <f>SUM((E76/1000*D76)*L76)</f>
        <v>0.09264</v>
      </c>
    </row>
    <row r="77" spans="2:16" ht="13.5">
      <c r="B77" s="97" t="s">
        <v>196</v>
      </c>
      <c r="D77" s="2">
        <f>SUM(1/0.1*H77*1000)</f>
        <v>400</v>
      </c>
      <c r="E77" s="2">
        <v>30</v>
      </c>
      <c r="F77" s="2">
        <v>2</v>
      </c>
      <c r="G77" s="2">
        <f>SUM(F77*D77/1000)</f>
        <v>0.8</v>
      </c>
      <c r="H77" s="69">
        <v>0.04</v>
      </c>
      <c r="I77" s="70">
        <v>1.5</v>
      </c>
      <c r="J77" s="69">
        <v>14.7</v>
      </c>
      <c r="K77" s="69">
        <v>0.155</v>
      </c>
      <c r="L77" s="71">
        <v>0.00266</v>
      </c>
      <c r="M77" s="91">
        <f>SUM((E77/1000*D77)*I77)</f>
        <v>18</v>
      </c>
      <c r="N77" s="72">
        <f>SUM((E77/1000*D77)*J77)</f>
        <v>176.39999999999998</v>
      </c>
      <c r="O77" s="73">
        <f>SUM((E77/1000*D77)*K77)</f>
        <v>1.8599999999999999</v>
      </c>
      <c r="P77" s="92">
        <f>SUM((E77/1000*D77)*L77)</f>
        <v>0.031920000000000004</v>
      </c>
    </row>
    <row r="78" spans="2:16" ht="13.5">
      <c r="B78" s="97"/>
      <c r="M78" s="91"/>
      <c r="P78" s="92"/>
    </row>
    <row r="79" spans="1:256" s="89" customFormat="1" ht="51">
      <c r="A79" s="82"/>
      <c r="B79" s="118" t="s">
        <v>95</v>
      </c>
      <c r="C79" s="84" t="s">
        <v>109</v>
      </c>
      <c r="D79" s="85" t="s">
        <v>110</v>
      </c>
      <c r="E79" s="85" t="s">
        <v>111</v>
      </c>
      <c r="F79" s="85" t="s">
        <v>112</v>
      </c>
      <c r="G79" s="85" t="s">
        <v>113</v>
      </c>
      <c r="H79" s="85" t="s">
        <v>114</v>
      </c>
      <c r="I79" s="41" t="s">
        <v>115</v>
      </c>
      <c r="J79" s="86" t="s">
        <v>116</v>
      </c>
      <c r="K79" s="86" t="s">
        <v>117</v>
      </c>
      <c r="L79" s="87" t="s">
        <v>118</v>
      </c>
      <c r="M79" s="85" t="s">
        <v>119</v>
      </c>
      <c r="N79" s="41" t="s">
        <v>120</v>
      </c>
      <c r="O79" s="85" t="s">
        <v>121</v>
      </c>
      <c r="P79" s="85" t="s">
        <v>122</v>
      </c>
      <c r="Q79" s="88"/>
      <c r="R79" s="88"/>
      <c r="S79" s="88"/>
      <c r="IU79" s="82"/>
      <c r="IV79" s="82"/>
    </row>
    <row r="80" spans="2:16" ht="13.5">
      <c r="B80" s="97" t="s">
        <v>197</v>
      </c>
      <c r="D80" s="2">
        <v>5</v>
      </c>
      <c r="E80" s="76">
        <v>30</v>
      </c>
      <c r="F80" s="2">
        <v>2</v>
      </c>
      <c r="G80" s="2">
        <f>SUM(F80*D80/1000)</f>
        <v>0.01</v>
      </c>
      <c r="H80" s="69">
        <v>0.04</v>
      </c>
      <c r="I80" s="70">
        <v>1.55</v>
      </c>
      <c r="J80" s="69">
        <v>38</v>
      </c>
      <c r="K80" s="69">
        <v>0.364</v>
      </c>
      <c r="L80" s="71">
        <v>0.008740000000000001</v>
      </c>
      <c r="M80" s="91">
        <f>SUM((E80/1000*D80)*I80)</f>
        <v>0.23249999999999998</v>
      </c>
      <c r="N80" s="119">
        <f>SUM(J80*E80/1000*D80)</f>
        <v>5.699999999999999</v>
      </c>
      <c r="O80" s="72">
        <f>SUM(K80*E80/1000*D80)</f>
        <v>0.054599999999999996</v>
      </c>
      <c r="P80" s="73">
        <f>SUM(L80*E80/1000*D80)</f>
        <v>0.001311</v>
      </c>
    </row>
    <row r="81" spans="2:16" ht="13.5">
      <c r="B81" s="97" t="s">
        <v>184</v>
      </c>
      <c r="D81" s="2">
        <v>10</v>
      </c>
      <c r="E81" s="76">
        <v>68</v>
      </c>
      <c r="F81" s="2">
        <v>1</v>
      </c>
      <c r="G81" s="2">
        <f>SUM(F81*D81/1000)</f>
        <v>0.01</v>
      </c>
      <c r="H81" s="69">
        <v>0.035</v>
      </c>
      <c r="I81" s="70">
        <v>1.03</v>
      </c>
      <c r="J81" s="69">
        <v>49.8</v>
      </c>
      <c r="K81" s="69">
        <v>2.26</v>
      </c>
      <c r="L81" s="71">
        <v>0.016</v>
      </c>
      <c r="M81" s="91">
        <f>SUM((E81/1000*D81)*I81)</f>
        <v>0.7004</v>
      </c>
      <c r="N81" s="119">
        <f>SUM(J81*E81/1000*D81)</f>
        <v>33.864</v>
      </c>
      <c r="O81" s="72">
        <f>SUM(K81*E81/1000*D81)</f>
        <v>1.5368</v>
      </c>
      <c r="P81" s="73">
        <f>SUM(L81*E81/1000*D81)</f>
        <v>0.01088</v>
      </c>
    </row>
    <row r="82" spans="2:16" ht="13.5">
      <c r="B82" s="97" t="s">
        <v>198</v>
      </c>
      <c r="D82" s="2">
        <v>10</v>
      </c>
      <c r="E82" s="76">
        <v>104</v>
      </c>
      <c r="F82" s="2">
        <v>1</v>
      </c>
      <c r="G82" s="2">
        <f>SUM(F82*D82/1000)</f>
        <v>0.01</v>
      </c>
      <c r="H82" s="69">
        <v>0.039</v>
      </c>
      <c r="I82" s="70">
        <v>1.03</v>
      </c>
      <c r="J82" s="69">
        <v>23.3</v>
      </c>
      <c r="K82" s="69">
        <v>1.64</v>
      </c>
      <c r="L82" s="71">
        <v>0.0105</v>
      </c>
      <c r="M82" s="91">
        <f>SUM((E82/1000*D82)*I82)</f>
        <v>1.0712000000000002</v>
      </c>
      <c r="N82" s="119">
        <f>SUM(J82*E82/1000*D82)</f>
        <v>24.232000000000006</v>
      </c>
      <c r="O82" s="72">
        <f>SUM(K82*E82/1000*D82)</f>
        <v>1.7056</v>
      </c>
      <c r="P82" s="73">
        <f>SUM(L82*E82/1000*D82)</f>
        <v>0.010920000000000001</v>
      </c>
    </row>
    <row r="83" spans="2:16" ht="13.5">
      <c r="B83" s="97" t="s">
        <v>147</v>
      </c>
      <c r="D83" s="2">
        <v>5</v>
      </c>
      <c r="E83" s="76">
        <v>260</v>
      </c>
      <c r="F83" s="2">
        <v>5</v>
      </c>
      <c r="G83" s="2">
        <f>SUM(F83*D83/1000)</f>
        <v>0.025</v>
      </c>
      <c r="H83" s="69">
        <v>0.046</v>
      </c>
      <c r="I83" s="70">
        <v>2</v>
      </c>
      <c r="J83" s="69">
        <v>13.7</v>
      </c>
      <c r="K83" s="69">
        <v>-0.183</v>
      </c>
      <c r="L83" s="71">
        <v>0.006880000000000001</v>
      </c>
      <c r="M83" s="91">
        <f>SUM((E83/1000*D83)*I83)</f>
        <v>2.6</v>
      </c>
      <c r="N83" s="119">
        <f>SUM(J83*E83/1000*D83)</f>
        <v>17.81</v>
      </c>
      <c r="O83" s="72">
        <f>SUM(K83*E83/1000*D83)</f>
        <v>-0.2379</v>
      </c>
      <c r="P83" s="73">
        <f>SUM(L83*E83/1000*D83)</f>
        <v>0.008944</v>
      </c>
    </row>
    <row r="84" spans="2:16" ht="13.5">
      <c r="B84" s="109" t="s">
        <v>199</v>
      </c>
      <c r="D84" s="2">
        <v>3</v>
      </c>
      <c r="E84" s="76">
        <v>34</v>
      </c>
      <c r="J84" s="69">
        <v>79.9</v>
      </c>
      <c r="K84" s="69">
        <v>2.07</v>
      </c>
      <c r="L84" s="71">
        <v>0.014700000000000001</v>
      </c>
      <c r="N84" s="119">
        <f>SUM(J84*E84/1000*D84)</f>
        <v>8.149800000000003</v>
      </c>
      <c r="O84" s="72">
        <f>SUM(K84*E84/1000*D84)</f>
        <v>0.21114</v>
      </c>
      <c r="P84" s="73">
        <f>SUM(L84*E84/1000*D84)</f>
        <v>0.0014994000000000001</v>
      </c>
    </row>
    <row r="85" spans="2:16" ht="13.5">
      <c r="B85" s="97" t="s">
        <v>182</v>
      </c>
      <c r="D85" s="2">
        <v>3</v>
      </c>
      <c r="E85" s="76">
        <v>120</v>
      </c>
      <c r="F85" s="2">
        <v>18</v>
      </c>
      <c r="G85" s="2">
        <f>SUM(F85*D85/1000)</f>
        <v>0.054</v>
      </c>
      <c r="H85" s="69">
        <v>0.04</v>
      </c>
      <c r="I85" s="70">
        <v>1.67</v>
      </c>
      <c r="J85" s="69">
        <v>7.1</v>
      </c>
      <c r="K85" s="69">
        <v>-1.23</v>
      </c>
      <c r="L85" s="71">
        <v>0.0027400000000000002</v>
      </c>
      <c r="M85" s="91">
        <f>SUM((E85/1000*D85)*I85)</f>
        <v>0.6012</v>
      </c>
      <c r="N85" s="119">
        <f>SUM(J85*E85/1000*D85)</f>
        <v>2.556</v>
      </c>
      <c r="O85" s="72">
        <f>SUM(K85*E85/1000*D85)</f>
        <v>-0.44279999999999997</v>
      </c>
      <c r="P85" s="73">
        <f>SUM(L85*E85/1000*D85)</f>
        <v>0.0009864000000000001</v>
      </c>
    </row>
    <row r="86" spans="1:256" s="76" customFormat="1" ht="13.5">
      <c r="A86" s="18"/>
      <c r="B86" s="109"/>
      <c r="C86" s="94"/>
      <c r="H86" s="78"/>
      <c r="I86" s="77"/>
      <c r="J86" s="78"/>
      <c r="K86" s="78"/>
      <c r="L86" s="95"/>
      <c r="M86" s="77"/>
      <c r="N86" s="77"/>
      <c r="O86" s="78"/>
      <c r="P86" s="79"/>
      <c r="IU86" s="18"/>
      <c r="IV86" s="18"/>
    </row>
    <row r="87" spans="1:256" s="89" customFormat="1" ht="51">
      <c r="A87" s="82"/>
      <c r="B87" s="96" t="s">
        <v>92</v>
      </c>
      <c r="C87" s="84" t="s">
        <v>109</v>
      </c>
      <c r="D87" s="85" t="s">
        <v>110</v>
      </c>
      <c r="E87" s="85" t="s">
        <v>111</v>
      </c>
      <c r="F87" s="85" t="s">
        <v>112</v>
      </c>
      <c r="G87" s="85" t="s">
        <v>113</v>
      </c>
      <c r="H87" s="85" t="s">
        <v>114</v>
      </c>
      <c r="I87" s="41" t="s">
        <v>115</v>
      </c>
      <c r="J87" s="86" t="s">
        <v>116</v>
      </c>
      <c r="K87" s="86" t="s">
        <v>117</v>
      </c>
      <c r="L87" s="87" t="s">
        <v>118</v>
      </c>
      <c r="M87" s="85" t="s">
        <v>119</v>
      </c>
      <c r="N87" s="41" t="s">
        <v>120</v>
      </c>
      <c r="O87" s="85" t="s">
        <v>121</v>
      </c>
      <c r="P87" s="85" t="s">
        <v>122</v>
      </c>
      <c r="Q87" s="88"/>
      <c r="R87" s="88"/>
      <c r="S87" s="88"/>
      <c r="IU87" s="82"/>
      <c r="IV87" s="82"/>
    </row>
    <row r="88" spans="1:256" s="76" customFormat="1" ht="13.5">
      <c r="A88" s="18"/>
      <c r="B88" s="120" t="s">
        <v>83</v>
      </c>
      <c r="C88" s="94"/>
      <c r="H88" s="78"/>
      <c r="I88" s="77"/>
      <c r="J88" s="78"/>
      <c r="K88" s="78"/>
      <c r="L88" s="95"/>
      <c r="N88" s="77"/>
      <c r="O88" s="78"/>
      <c r="P88" s="79"/>
      <c r="IU88" s="18"/>
      <c r="IV88" s="18"/>
    </row>
    <row r="89" spans="2:16" ht="13.5">
      <c r="B89" s="97" t="s">
        <v>200</v>
      </c>
      <c r="D89" s="2">
        <v>25</v>
      </c>
      <c r="E89" s="2">
        <v>630</v>
      </c>
      <c r="F89" s="2">
        <v>50</v>
      </c>
      <c r="G89" s="2">
        <f>SUM(F89*D89/1000)</f>
        <v>1.25</v>
      </c>
      <c r="H89" s="69">
        <v>0.13</v>
      </c>
      <c r="I89" s="70">
        <v>2</v>
      </c>
      <c r="J89" s="69">
        <v>13.82</v>
      </c>
      <c r="K89" s="69">
        <v>0.089</v>
      </c>
      <c r="L89" s="71">
        <v>0.006180000000000001</v>
      </c>
      <c r="M89" s="91">
        <f>SUM((E89/1000*D89)*I89)</f>
        <v>31.5</v>
      </c>
      <c r="N89" s="72">
        <f>SUM((E89/1000*D89)*J89)</f>
        <v>217.665</v>
      </c>
      <c r="O89" s="73">
        <f>SUM((E89/1000*D89)*K89)</f>
        <v>1.4017499999999998</v>
      </c>
      <c r="P89" s="92">
        <f>SUM((E89/1000*D89)*L89)</f>
        <v>0.097335</v>
      </c>
    </row>
    <row r="90" spans="1:16" ht="13.5">
      <c r="A90" t="s">
        <v>104</v>
      </c>
      <c r="B90" s="109" t="s">
        <v>201</v>
      </c>
      <c r="D90" s="2">
        <v>3</v>
      </c>
      <c r="E90" s="2">
        <v>1000</v>
      </c>
      <c r="F90" s="2">
        <v>50</v>
      </c>
      <c r="G90" s="2">
        <f>SUM(F90*D90/1000)</f>
        <v>0.15</v>
      </c>
      <c r="H90" s="69">
        <v>0.18</v>
      </c>
      <c r="I90" s="70">
        <v>2</v>
      </c>
      <c r="J90" s="69">
        <v>41.2</v>
      </c>
      <c r="K90" s="69">
        <v>0.374</v>
      </c>
      <c r="L90" s="71">
        <v>0.0152</v>
      </c>
      <c r="M90" s="91">
        <f>SUM((E90/1000*D90)*I90)</f>
        <v>6</v>
      </c>
      <c r="N90" s="72">
        <f>SUM((E90/1000*D90)*J90)</f>
        <v>123.60000000000001</v>
      </c>
      <c r="O90" s="73">
        <f>SUM((E90/1000*D90)*K90)</f>
        <v>1.1219999999999999</v>
      </c>
      <c r="P90" s="92">
        <f>SUM((E90/1000*D90)*L90)</f>
        <v>0.0456</v>
      </c>
    </row>
    <row r="91" spans="2:16" ht="13.5">
      <c r="B91" s="97" t="s">
        <v>202</v>
      </c>
      <c r="D91" s="2">
        <v>18</v>
      </c>
      <c r="E91" s="2">
        <v>740</v>
      </c>
      <c r="F91" s="2">
        <v>50</v>
      </c>
      <c r="G91" s="2">
        <f>SUM(F91*D91/1000)</f>
        <v>0.9</v>
      </c>
      <c r="H91" s="69">
        <v>0.17</v>
      </c>
      <c r="I91" s="70">
        <v>2</v>
      </c>
      <c r="J91" s="69">
        <v>18.67</v>
      </c>
      <c r="K91" s="69">
        <v>0.28200000000000003</v>
      </c>
      <c r="L91" s="71">
        <v>0.00627</v>
      </c>
      <c r="M91" s="91">
        <f>SUM((E91/1000*D91)*I91)</f>
        <v>26.64</v>
      </c>
      <c r="N91" s="72">
        <f>SUM((E91/1000*D91)*J91)</f>
        <v>248.68440000000004</v>
      </c>
      <c r="O91" s="73">
        <f>SUM((E91/1000*D91)*K91)</f>
        <v>3.7562400000000005</v>
      </c>
      <c r="P91" s="92">
        <f>SUM((E91/1000*D91)*L91)</f>
        <v>0.0835164</v>
      </c>
    </row>
    <row r="92" spans="1:16" ht="13.5">
      <c r="A92" t="s">
        <v>104</v>
      </c>
      <c r="B92" s="109" t="s">
        <v>203</v>
      </c>
      <c r="D92" s="2">
        <v>12</v>
      </c>
      <c r="E92" s="2">
        <v>600</v>
      </c>
      <c r="G92" s="2">
        <f>SUM(F92*D92/1000)</f>
        <v>0</v>
      </c>
      <c r="H92" s="69">
        <v>0.13</v>
      </c>
      <c r="J92" s="69">
        <v>38.4</v>
      </c>
      <c r="K92" s="69">
        <v>0.657</v>
      </c>
      <c r="L92" s="71">
        <v>0.0216</v>
      </c>
      <c r="M92" s="91">
        <f>SUM((E92/1000*D92)*I92)</f>
        <v>0</v>
      </c>
      <c r="N92" s="72">
        <f>SUM((E92/1000*D92)*J92)</f>
        <v>276.47999999999996</v>
      </c>
      <c r="O92" s="73">
        <f>SUM((E92/1000*D92)*K92)</f>
        <v>4.7303999999999995</v>
      </c>
      <c r="P92" s="92">
        <f>SUM((E92/1000*D92)*L92)</f>
        <v>0.15552</v>
      </c>
    </row>
    <row r="93" spans="2:16" ht="13.5">
      <c r="B93" s="97" t="s">
        <v>204</v>
      </c>
      <c r="D93" s="2">
        <v>12</v>
      </c>
      <c r="E93" s="2">
        <v>2000</v>
      </c>
      <c r="F93" s="2">
        <v>150</v>
      </c>
      <c r="G93" s="2">
        <f>SUM(F93*D93/1000)</f>
        <v>1.8</v>
      </c>
      <c r="H93" s="69">
        <v>1.3</v>
      </c>
      <c r="I93" s="70">
        <v>0.84</v>
      </c>
      <c r="J93" s="69">
        <v>13.9</v>
      </c>
      <c r="K93" s="69">
        <v>0.717</v>
      </c>
      <c r="L93" s="71">
        <v>0.0029800000000000004</v>
      </c>
      <c r="M93" s="91">
        <f>SUM((E93/1000*D93)*I93)</f>
        <v>20.16</v>
      </c>
      <c r="N93" s="72">
        <f>SUM((E93/1000*D93)*J93)</f>
        <v>333.6</v>
      </c>
      <c r="O93" s="73">
        <f>SUM((E93/1000*D93)*K93)</f>
        <v>17.208</v>
      </c>
      <c r="P93" s="92">
        <f>SUM((E93/1000*D93)*L93)</f>
        <v>0.07152000000000001</v>
      </c>
    </row>
    <row r="94" spans="1:16" ht="13.5">
      <c r="A94" t="s">
        <v>104</v>
      </c>
      <c r="B94" s="109" t="s">
        <v>205</v>
      </c>
      <c r="D94" s="2">
        <v>40</v>
      </c>
      <c r="E94" s="2">
        <v>2000</v>
      </c>
      <c r="F94" s="2">
        <v>20</v>
      </c>
      <c r="G94" s="2">
        <f>SUM(F94*D94/1000)</f>
        <v>0.8</v>
      </c>
      <c r="H94" s="69">
        <v>1.1</v>
      </c>
      <c r="I94" s="70">
        <v>0.84</v>
      </c>
      <c r="J94" s="69">
        <v>0.796</v>
      </c>
      <c r="K94" s="69">
        <v>0.132</v>
      </c>
      <c r="L94" s="71">
        <v>0.000414</v>
      </c>
      <c r="M94" s="91">
        <f>SUM((E94/1000*D94)*I94)</f>
        <v>67.2</v>
      </c>
      <c r="N94" s="72">
        <f>SUM((E94/1000*D94)*J94)</f>
        <v>63.68000000000001</v>
      </c>
      <c r="O94" s="73">
        <f>SUM((E94/1000*D94)*K94)</f>
        <v>10.56</v>
      </c>
      <c r="P94" s="92">
        <f>SUM((E94/1000*D94)*L94)</f>
        <v>0.03312</v>
      </c>
    </row>
    <row r="95" spans="1:16" ht="13.5">
      <c r="A95" t="s">
        <v>104</v>
      </c>
      <c r="B95" s="109" t="s">
        <v>206</v>
      </c>
      <c r="D95" s="2">
        <v>50</v>
      </c>
      <c r="E95" s="2">
        <v>2200</v>
      </c>
      <c r="F95" s="2">
        <v>20000</v>
      </c>
      <c r="G95" s="2">
        <f>SUM(F95*D95/1000)</f>
        <v>1000</v>
      </c>
      <c r="H95" s="69">
        <v>0.8</v>
      </c>
      <c r="I95" s="70">
        <v>1.006</v>
      </c>
      <c r="J95" s="69">
        <v>0.895</v>
      </c>
      <c r="K95" s="69">
        <v>0.054700000000000006</v>
      </c>
      <c r="L95" s="71">
        <v>0.00023899999999999998</v>
      </c>
      <c r="M95" s="91">
        <f>SUM((E95/1000*D95)*I95)</f>
        <v>110.66000000000001</v>
      </c>
      <c r="N95" s="72">
        <f>SUM((E95/1000*D95)*J95)</f>
        <v>98.45000000000002</v>
      </c>
      <c r="O95" s="73">
        <f>SUM((E95/1000*D95)*K95)</f>
        <v>6.017000000000001</v>
      </c>
      <c r="P95" s="92">
        <f>SUM((E95/1000*D95)*L95)</f>
        <v>0.02629</v>
      </c>
    </row>
    <row r="96" spans="2:16" ht="13.5">
      <c r="B96" s="97" t="s">
        <v>207</v>
      </c>
      <c r="D96" s="2">
        <v>50</v>
      </c>
      <c r="E96" s="2">
        <v>2000</v>
      </c>
      <c r="F96" s="2">
        <v>50</v>
      </c>
      <c r="G96" s="2">
        <f>SUM(F96*D96/1000)</f>
        <v>2.5</v>
      </c>
      <c r="H96" s="69">
        <v>1.4</v>
      </c>
      <c r="I96" s="70">
        <v>1.08</v>
      </c>
      <c r="J96" s="69">
        <v>0.88</v>
      </c>
      <c r="K96" s="69">
        <v>0.10200000000000001</v>
      </c>
      <c r="L96" s="71">
        <v>0.00027</v>
      </c>
      <c r="M96" s="91">
        <f>SUM((E96/1000*D96)*I96)</f>
        <v>108</v>
      </c>
      <c r="N96" s="72">
        <f>SUM((E96/1000*D96)*J96)</f>
        <v>88</v>
      </c>
      <c r="O96" s="73">
        <f>SUM((E96/1000*D96)*K96)</f>
        <v>10.200000000000001</v>
      </c>
      <c r="P96" s="92">
        <f>SUM((E96/1000*D96)*L96)</f>
        <v>0.027</v>
      </c>
    </row>
    <row r="97" spans="1:256" s="76" customFormat="1" ht="13.5">
      <c r="A97" s="18"/>
      <c r="B97" s="93"/>
      <c r="C97" s="94"/>
      <c r="H97" s="78"/>
      <c r="I97" s="77"/>
      <c r="J97" s="78"/>
      <c r="K97" s="78"/>
      <c r="L97" s="95"/>
      <c r="N97" s="77"/>
      <c r="O97" s="78"/>
      <c r="P97" s="79"/>
      <c r="IU97" s="18"/>
      <c r="IV97" s="18"/>
    </row>
    <row r="98" spans="1:256" s="76" customFormat="1" ht="13.5">
      <c r="A98" s="18"/>
      <c r="B98" s="120" t="s">
        <v>208</v>
      </c>
      <c r="C98" s="94"/>
      <c r="H98" s="78"/>
      <c r="I98" s="77"/>
      <c r="J98" s="78"/>
      <c r="K98" s="78"/>
      <c r="L98" s="95"/>
      <c r="N98" s="77"/>
      <c r="O98" s="78"/>
      <c r="P98" s="79"/>
      <c r="IU98" s="18"/>
      <c r="IV98" s="18"/>
    </row>
    <row r="99" spans="2:16" ht="13.5">
      <c r="B99" s="97" t="s">
        <v>209</v>
      </c>
      <c r="D99" s="2">
        <v>15</v>
      </c>
      <c r="E99" s="2">
        <v>850</v>
      </c>
      <c r="F99" s="2">
        <v>8</v>
      </c>
      <c r="H99" s="69">
        <v>0.21</v>
      </c>
      <c r="I99" s="70">
        <v>1.05</v>
      </c>
      <c r="J99" s="69">
        <v>4.44</v>
      </c>
      <c r="K99" s="69">
        <v>0.209</v>
      </c>
      <c r="L99" s="71">
        <v>0.0007</v>
      </c>
      <c r="M99" s="91">
        <f>SUM((E99/1000*D99)*I99)</f>
        <v>13.387500000000001</v>
      </c>
      <c r="N99" s="72">
        <f>SUM((E99/1000*D99)*J99)</f>
        <v>56.61000000000001</v>
      </c>
      <c r="O99" s="73">
        <f>SUM((E99/1000*D99)*K99)</f>
        <v>2.6647499999999997</v>
      </c>
      <c r="P99" s="92">
        <f>SUM((E99/1000*D99)*L99)</f>
        <v>0.008925</v>
      </c>
    </row>
    <row r="100" spans="2:16" ht="13.5">
      <c r="B100" s="97" t="s">
        <v>210</v>
      </c>
      <c r="D100" s="2">
        <v>12.5</v>
      </c>
      <c r="E100" s="2">
        <v>850</v>
      </c>
      <c r="F100" s="2">
        <v>8</v>
      </c>
      <c r="H100" s="69">
        <v>0.21</v>
      </c>
      <c r="I100" s="70">
        <v>1.05</v>
      </c>
      <c r="J100" s="69">
        <v>4.34</v>
      </c>
      <c r="K100" s="69">
        <v>0.203</v>
      </c>
      <c r="L100" s="71">
        <v>0.0006600000000000001</v>
      </c>
      <c r="M100" s="91">
        <f>SUM((E100/1000*D100)*I100)</f>
        <v>11.15625</v>
      </c>
      <c r="N100" s="72">
        <f>SUM((E100/1000*D100)*J100)</f>
        <v>46.1125</v>
      </c>
      <c r="O100" s="73">
        <f>SUM((E100/1000*D100)*K100)</f>
        <v>2.1568750000000003</v>
      </c>
      <c r="P100" s="92">
        <f>SUM((E100/1000*D100)*L100)</f>
        <v>0.007012500000000001</v>
      </c>
    </row>
    <row r="101" spans="2:16" ht="13.5">
      <c r="B101" s="97" t="s">
        <v>211</v>
      </c>
      <c r="D101" s="2">
        <v>10</v>
      </c>
      <c r="E101" s="2">
        <v>1180</v>
      </c>
      <c r="F101" s="2">
        <v>10</v>
      </c>
      <c r="H101" s="69">
        <v>0.36</v>
      </c>
      <c r="I101" s="70">
        <v>1.05</v>
      </c>
      <c r="J101" s="69">
        <v>4.95</v>
      </c>
      <c r="K101" s="69">
        <v>-0.015</v>
      </c>
      <c r="L101" s="71">
        <v>0.0007800000000000001</v>
      </c>
      <c r="M101" s="91">
        <f>SUM((E101/1000*D101)*I101)</f>
        <v>12.389999999999999</v>
      </c>
      <c r="N101" s="72">
        <f>SUM((E101/1000*D101)*J101)</f>
        <v>58.41</v>
      </c>
      <c r="O101" s="73">
        <f>SUM((E101/1000*D101)*K101)</f>
        <v>-0.177</v>
      </c>
      <c r="P101" s="92">
        <f>SUM((E101/1000*D101)*L101)</f>
        <v>0.009204</v>
      </c>
    </row>
    <row r="102" spans="2:16" ht="13.5">
      <c r="B102" s="97" t="s">
        <v>212</v>
      </c>
      <c r="C102" s="121">
        <f>SUM(E102/1000*D102)</f>
        <v>10</v>
      </c>
      <c r="D102" s="2">
        <v>10</v>
      </c>
      <c r="E102" s="2">
        <v>1000</v>
      </c>
      <c r="H102" s="122"/>
      <c r="I102" s="91"/>
      <c r="J102" s="122">
        <f>SUM(N102/$C102)</f>
        <v>2.2600000000000002</v>
      </c>
      <c r="K102" s="122">
        <f>SUM(O102/$C102)</f>
        <v>0.12</v>
      </c>
      <c r="L102" s="123">
        <f>SUM(P102/$C102)</f>
        <v>0.00042000000000000007</v>
      </c>
      <c r="M102" s="91"/>
      <c r="N102" s="72">
        <v>22.6</v>
      </c>
      <c r="O102" s="73">
        <v>1.2</v>
      </c>
      <c r="P102" s="92">
        <v>0.004200000000000001</v>
      </c>
    </row>
    <row r="103" spans="2:16" ht="13.5">
      <c r="B103" s="109" t="s">
        <v>213</v>
      </c>
      <c r="C103" s="121">
        <f>SUM(E103/1000*D103)</f>
        <v>10</v>
      </c>
      <c r="D103" s="2">
        <v>10</v>
      </c>
      <c r="E103" s="2">
        <v>1000</v>
      </c>
      <c r="H103" s="122"/>
      <c r="I103" s="91"/>
      <c r="J103" s="122">
        <f>SUM(N103/$C103)</f>
        <v>2.56</v>
      </c>
      <c r="K103" s="122">
        <f>SUM(O103/$C103)</f>
        <v>0.13</v>
      </c>
      <c r="L103" s="123">
        <f>SUM(P103/$C103)</f>
        <v>0.00045000000000000004</v>
      </c>
      <c r="N103" s="72">
        <v>25.6</v>
      </c>
      <c r="O103" s="73">
        <v>1.3</v>
      </c>
      <c r="P103" s="92">
        <v>0.0045000000000000005</v>
      </c>
    </row>
    <row r="104" spans="2:16" ht="13.5">
      <c r="B104" s="109" t="s">
        <v>214</v>
      </c>
      <c r="D104" s="2">
        <v>10</v>
      </c>
      <c r="E104" s="2">
        <v>1400</v>
      </c>
      <c r="F104" s="2">
        <v>10</v>
      </c>
      <c r="H104" s="69">
        <v>0.7</v>
      </c>
      <c r="I104" s="124">
        <v>0.92</v>
      </c>
      <c r="J104" s="69">
        <v>1.99</v>
      </c>
      <c r="K104" s="69">
        <v>0.20500000000000002</v>
      </c>
      <c r="L104" s="71">
        <v>0.0005200000000000001</v>
      </c>
      <c r="M104" s="91">
        <f>SUM((E104/1000*D104)*I104)</f>
        <v>12.88</v>
      </c>
      <c r="N104" s="72">
        <f>SUM((E104/1000*D104)*J104)</f>
        <v>27.86</v>
      </c>
      <c r="O104" s="73">
        <f>SUM((E104/1000*D104)*K104)</f>
        <v>2.87</v>
      </c>
      <c r="P104" s="92">
        <f>SUM((E104/1000*D104)*L104)</f>
        <v>0.007280000000000001</v>
      </c>
    </row>
    <row r="105" spans="2:16" ht="13.5">
      <c r="B105" s="97" t="s">
        <v>215</v>
      </c>
      <c r="D105" s="2">
        <v>10</v>
      </c>
      <c r="E105" s="2">
        <v>1800</v>
      </c>
      <c r="F105" s="2">
        <v>15</v>
      </c>
      <c r="H105" s="69">
        <v>0.8</v>
      </c>
      <c r="I105" s="70">
        <v>1.1</v>
      </c>
      <c r="J105" s="69">
        <v>1.56</v>
      </c>
      <c r="K105" s="69">
        <v>0.153</v>
      </c>
      <c r="L105" s="71">
        <v>0.0005600000000000001</v>
      </c>
      <c r="M105" s="91">
        <f>SUM((E105/1000*D105)*I105)</f>
        <v>19.8</v>
      </c>
      <c r="N105" s="72">
        <f>SUM((E105/1000*D105)*J105)</f>
        <v>28.080000000000002</v>
      </c>
      <c r="O105" s="73">
        <f>SUM((E105/1000*D105)*K105)</f>
        <v>2.754</v>
      </c>
      <c r="P105" s="92">
        <f>SUM((E105/1000*D105)*L105)</f>
        <v>0.01008</v>
      </c>
    </row>
    <row r="106" spans="2:16" ht="13.5">
      <c r="B106" s="97" t="s">
        <v>216</v>
      </c>
      <c r="D106" s="2">
        <v>10</v>
      </c>
      <c r="E106" s="2">
        <v>1300</v>
      </c>
      <c r="F106" s="2">
        <v>10</v>
      </c>
      <c r="H106" s="69">
        <v>0.7</v>
      </c>
      <c r="I106" s="70">
        <v>0.96</v>
      </c>
      <c r="J106" s="69">
        <v>2.38</v>
      </c>
      <c r="K106" s="69">
        <v>0.17200000000000001</v>
      </c>
      <c r="L106" s="71">
        <v>0.005</v>
      </c>
      <c r="M106" s="91">
        <f>SUM((E106/1000*D106)*I106)</f>
        <v>12.48</v>
      </c>
      <c r="N106" s="72">
        <f>SUM((E106/1000*D106)*J106)</f>
        <v>30.939999999999998</v>
      </c>
      <c r="O106" s="73">
        <f>SUM((E106/1000*D106)*K106)</f>
        <v>2.236</v>
      </c>
      <c r="P106" s="92">
        <f>SUM((E106/10000*D106)*L106)</f>
        <v>0.006500000000000001</v>
      </c>
    </row>
    <row r="107" spans="2:16" ht="13.5">
      <c r="B107" s="97" t="s">
        <v>217</v>
      </c>
      <c r="D107" s="2">
        <v>10</v>
      </c>
      <c r="E107" s="2">
        <v>1300</v>
      </c>
      <c r="F107" s="2">
        <v>10</v>
      </c>
      <c r="H107" s="69">
        <v>0.6000000000000001</v>
      </c>
      <c r="I107" s="70">
        <v>0.8</v>
      </c>
      <c r="J107" s="69">
        <v>2.56</v>
      </c>
      <c r="K107" s="69">
        <v>0.128</v>
      </c>
      <c r="L107" s="71">
        <v>0.00045000000000000004</v>
      </c>
      <c r="M107" s="91">
        <f>SUM((E107/1000*D107)*I107)</f>
        <v>10.4</v>
      </c>
      <c r="N107" s="72">
        <f>SUM((E107/1000*D107)*J107)</f>
        <v>33.28</v>
      </c>
      <c r="O107" s="73">
        <f>SUM((E107/1000*D107)*K107)</f>
        <v>1.6640000000000001</v>
      </c>
      <c r="P107" s="92">
        <f>SUM((E107/1000*D107)*L107)</f>
        <v>0.00585</v>
      </c>
    </row>
    <row r="108" spans="2:16" ht="13.5">
      <c r="B108" s="97" t="s">
        <v>218</v>
      </c>
      <c r="D108" s="2">
        <v>15</v>
      </c>
      <c r="E108" s="2">
        <v>1700</v>
      </c>
      <c r="F108" s="2">
        <v>10</v>
      </c>
      <c r="H108" s="69">
        <v>0.81</v>
      </c>
      <c r="I108" s="70">
        <v>0.94</v>
      </c>
      <c r="J108" s="69">
        <v>0.36</v>
      </c>
      <c r="K108" s="69">
        <v>-0.045</v>
      </c>
      <c r="L108" s="71">
        <v>0.00013000000000000002</v>
      </c>
      <c r="M108" s="91">
        <f>SUM((E108/1000*D108)*I108)</f>
        <v>23.970000000000002</v>
      </c>
      <c r="N108" s="72">
        <f>SUM((E108/1000*D108)*J108)</f>
        <v>9.18</v>
      </c>
      <c r="O108" s="73">
        <f>SUM((E108/1000*D108)*K108)</f>
        <v>-1.1475</v>
      </c>
      <c r="P108" s="92">
        <f>SUM((E108/1000*D108)*L108)</f>
        <v>0.0033150000000000002</v>
      </c>
    </row>
    <row r="109" spans="2:16" ht="13.5">
      <c r="B109" s="109" t="s">
        <v>219</v>
      </c>
      <c r="C109" s="121">
        <f>SUM(E109/1000*D109)</f>
        <v>9</v>
      </c>
      <c r="D109" s="2">
        <v>5</v>
      </c>
      <c r="E109" s="2">
        <v>1800</v>
      </c>
      <c r="H109" s="122"/>
      <c r="I109" s="91"/>
      <c r="J109" s="122">
        <f>SUM(N109/$C109)</f>
        <v>2.6444444444444444</v>
      </c>
      <c r="K109" s="122">
        <f>SUM(O109/$C109)</f>
        <v>0.2777777777777778</v>
      </c>
      <c r="L109" s="123">
        <f>SUM(P109/$C109)</f>
        <v>0.0010444444444444444</v>
      </c>
      <c r="M109" s="91"/>
      <c r="N109" s="72">
        <v>23.8</v>
      </c>
      <c r="O109" s="73">
        <v>2.5</v>
      </c>
      <c r="P109" s="92">
        <v>0.0094</v>
      </c>
    </row>
    <row r="110" spans="2:16" ht="13.5">
      <c r="B110" s="109" t="s">
        <v>220</v>
      </c>
      <c r="C110" s="121">
        <f>SUM(E110/1000*D110)</f>
        <v>9</v>
      </c>
      <c r="D110" s="2">
        <v>5</v>
      </c>
      <c r="E110" s="2">
        <v>1800</v>
      </c>
      <c r="H110" s="122"/>
      <c r="I110" s="91"/>
      <c r="J110" s="122">
        <f>SUM(N110/$C110)</f>
        <v>2.5555555555555554</v>
      </c>
      <c r="K110" s="122">
        <f>SUM(O110/$C110)</f>
        <v>0.30000000000000004</v>
      </c>
      <c r="L110" s="123">
        <f>SUM(P110/$C110)</f>
        <v>0.0004111111111111111</v>
      </c>
      <c r="M110" s="91"/>
      <c r="N110" s="72">
        <v>23</v>
      </c>
      <c r="O110" s="73">
        <v>2.7</v>
      </c>
      <c r="P110" s="92">
        <v>0.0037</v>
      </c>
    </row>
    <row r="111" spans="2:16" ht="13.5">
      <c r="B111" s="109" t="s">
        <v>221</v>
      </c>
      <c r="C111" s="121">
        <f>SUM(E111/1000*D111)</f>
        <v>3.4</v>
      </c>
      <c r="D111" s="2">
        <v>2</v>
      </c>
      <c r="E111" s="2">
        <v>1700</v>
      </c>
      <c r="H111" s="122"/>
      <c r="I111" s="91"/>
      <c r="J111" s="122">
        <f>SUM(N111/$C111)</f>
        <v>2.5588235294117645</v>
      </c>
      <c r="K111" s="122">
        <f>SUM(O111/$C111)</f>
        <v>0.11764705882352942</v>
      </c>
      <c r="L111" s="123">
        <f>SUM(P111/$C111)</f>
        <v>0.0010882352941176472</v>
      </c>
      <c r="M111" s="91"/>
      <c r="N111" s="72">
        <v>8.7</v>
      </c>
      <c r="O111" s="73">
        <v>0.4</v>
      </c>
      <c r="P111" s="92">
        <v>0.0037</v>
      </c>
    </row>
    <row r="112" spans="2:16" ht="13.5">
      <c r="B112" s="109" t="s">
        <v>222</v>
      </c>
      <c r="C112" s="121">
        <f>SUM(E112/1000*D112)</f>
        <v>0.5</v>
      </c>
      <c r="D112" s="2">
        <v>0.5</v>
      </c>
      <c r="E112" s="2">
        <v>1000</v>
      </c>
      <c r="H112" s="122"/>
      <c r="I112" s="91"/>
      <c r="J112" s="122">
        <f>SUM(N112/$C112)</f>
        <v>15.6</v>
      </c>
      <c r="K112" s="122">
        <f>SUM(O112/$C112)</f>
        <v>0.6000000000000001</v>
      </c>
      <c r="L112" s="123">
        <f>SUM(P112/$C112)</f>
        <v>0.0034000000000000002</v>
      </c>
      <c r="M112" s="91"/>
      <c r="N112" s="72">
        <v>7.8</v>
      </c>
      <c r="O112" s="73">
        <v>0.30000000000000004</v>
      </c>
      <c r="P112" s="92">
        <v>0.0017000000000000001</v>
      </c>
    </row>
    <row r="113" spans="1:256" s="76" customFormat="1" ht="13.5">
      <c r="A113" s="18"/>
      <c r="B113" s="93"/>
      <c r="C113" s="94"/>
      <c r="H113" s="78"/>
      <c r="I113" s="77"/>
      <c r="J113" s="78"/>
      <c r="K113" s="78"/>
      <c r="L113" s="95"/>
      <c r="M113" s="77"/>
      <c r="N113" s="77"/>
      <c r="O113" s="78"/>
      <c r="P113" s="79"/>
      <c r="IU113" s="18"/>
      <c r="IV113" s="18"/>
    </row>
    <row r="114" spans="1:256" s="105" customFormat="1" ht="51">
      <c r="A114" s="82"/>
      <c r="B114" s="118" t="s">
        <v>223</v>
      </c>
      <c r="C114" s="102" t="s">
        <v>109</v>
      </c>
      <c r="D114" s="85" t="s">
        <v>110</v>
      </c>
      <c r="E114" s="85" t="s">
        <v>224</v>
      </c>
      <c r="F114" s="85" t="s">
        <v>112</v>
      </c>
      <c r="G114" s="85" t="s">
        <v>113</v>
      </c>
      <c r="H114" s="85" t="s">
        <v>114</v>
      </c>
      <c r="I114" s="41" t="s">
        <v>115</v>
      </c>
      <c r="J114" s="86" t="s">
        <v>116</v>
      </c>
      <c r="K114" s="86" t="s">
        <v>117</v>
      </c>
      <c r="L114" s="87" t="s">
        <v>118</v>
      </c>
      <c r="M114" s="85" t="s">
        <v>119</v>
      </c>
      <c r="N114" s="41" t="s">
        <v>120</v>
      </c>
      <c r="O114" s="85" t="s">
        <v>121</v>
      </c>
      <c r="P114" s="85" t="s">
        <v>122</v>
      </c>
      <c r="Q114" s="104"/>
      <c r="R114" s="104"/>
      <c r="S114" s="104"/>
      <c r="IU114" s="82"/>
      <c r="IV114" s="82"/>
    </row>
    <row r="115" spans="1:16" ht="13.5">
      <c r="A115" t="s">
        <v>104</v>
      </c>
      <c r="B115" s="93" t="s">
        <v>225</v>
      </c>
      <c r="D115" s="2">
        <v>30</v>
      </c>
      <c r="E115" s="2">
        <f>SUM(500*0.001*D115)</f>
        <v>15</v>
      </c>
      <c r="F115" s="2">
        <v>5</v>
      </c>
      <c r="H115" s="69">
        <v>0.13</v>
      </c>
      <c r="I115" s="70">
        <v>0.936</v>
      </c>
      <c r="J115" s="69">
        <v>2.23</v>
      </c>
      <c r="K115" s="69">
        <v>0.551</v>
      </c>
      <c r="L115" s="71">
        <v>0.00111</v>
      </c>
      <c r="N115" s="119">
        <f>SUM(J115*E115)</f>
        <v>33.45</v>
      </c>
      <c r="O115" s="72">
        <f>SUM(K115*E115)</f>
        <v>8.265</v>
      </c>
      <c r="P115" s="73">
        <f>SUM(L115*E115)</f>
        <v>0.01665</v>
      </c>
    </row>
    <row r="116" spans="2:16" ht="13.5">
      <c r="B116" s="90" t="s">
        <v>226</v>
      </c>
      <c r="E116" s="2">
        <v>4.5</v>
      </c>
      <c r="N116" s="72">
        <v>19.9</v>
      </c>
      <c r="O116" s="73">
        <v>1.6</v>
      </c>
      <c r="P116" s="92">
        <v>0.0049</v>
      </c>
    </row>
    <row r="117" spans="2:16" ht="13.5">
      <c r="B117" s="90" t="s">
        <v>227</v>
      </c>
      <c r="E117" s="2">
        <v>3</v>
      </c>
      <c r="N117" s="72">
        <v>87.6</v>
      </c>
      <c r="O117" s="73">
        <v>3</v>
      </c>
      <c r="P117" s="92">
        <v>0.0162</v>
      </c>
    </row>
    <row r="118" spans="2:16" ht="13.5">
      <c r="B118" s="97" t="s">
        <v>228</v>
      </c>
      <c r="E118" s="2">
        <v>0.16</v>
      </c>
      <c r="N118" s="72">
        <v>7.2</v>
      </c>
      <c r="O118" s="73">
        <v>0.4</v>
      </c>
      <c r="P118" s="92">
        <v>0.0026000000000000003</v>
      </c>
    </row>
    <row r="119" spans="2:16" ht="13.5">
      <c r="B119" s="97" t="s">
        <v>229</v>
      </c>
      <c r="E119" s="2">
        <v>3.75</v>
      </c>
      <c r="N119" s="72">
        <v>43.4</v>
      </c>
      <c r="O119" s="73">
        <v>1.8</v>
      </c>
      <c r="P119" s="92">
        <v>0.0128</v>
      </c>
    </row>
    <row r="120" spans="2:16" ht="13.5">
      <c r="B120" s="97" t="s">
        <v>230</v>
      </c>
      <c r="E120" s="2">
        <v>3.75</v>
      </c>
      <c r="N120" s="72">
        <v>44.4</v>
      </c>
      <c r="O120" s="73">
        <v>1.7000000000000002</v>
      </c>
      <c r="P120" s="92">
        <v>0.009000000000000001</v>
      </c>
    </row>
    <row r="121" spans="2:16" ht="13.5">
      <c r="B121" s="93" t="s">
        <v>231</v>
      </c>
      <c r="D121" s="2">
        <v>8</v>
      </c>
      <c r="E121" s="2">
        <f>SUM(2000*0.001*D121)</f>
        <v>16</v>
      </c>
      <c r="F121" s="2">
        <v>50</v>
      </c>
      <c r="H121" s="69">
        <v>0.58</v>
      </c>
      <c r="I121" s="70">
        <v>1.05</v>
      </c>
      <c r="J121" s="69">
        <v>13.9</v>
      </c>
      <c r="K121" s="69">
        <v>0.94</v>
      </c>
      <c r="L121" s="71">
        <v>0.0033900000000000002</v>
      </c>
      <c r="N121" s="119">
        <f>SUM(J121*E121)</f>
        <v>222.4</v>
      </c>
      <c r="O121" s="72">
        <f>SUM(K121*E121)</f>
        <v>15.040000000000001</v>
      </c>
      <c r="P121" s="73">
        <f>SUM(L121*E121)</f>
        <v>0.054240000000000003</v>
      </c>
    </row>
    <row r="122" spans="2:16" ht="13.5">
      <c r="B122" s="93" t="s">
        <v>232</v>
      </c>
      <c r="D122" s="2">
        <v>25</v>
      </c>
      <c r="E122" s="2">
        <f>SUM(630*0.001*D122)</f>
        <v>15.75</v>
      </c>
      <c r="F122" s="2">
        <v>50</v>
      </c>
      <c r="H122" s="69">
        <v>0.15</v>
      </c>
      <c r="I122" s="70">
        <v>2</v>
      </c>
      <c r="J122" s="69">
        <v>3.06</v>
      </c>
      <c r="K122" s="69">
        <v>-1.1400000000000001</v>
      </c>
      <c r="L122" s="71">
        <v>0.0016300000000000002</v>
      </c>
      <c r="N122" s="119">
        <f>SUM(J122*E122)</f>
        <v>48.195</v>
      </c>
      <c r="O122" s="72">
        <f>SUM(K122*E122)</f>
        <v>-17.955000000000002</v>
      </c>
      <c r="P122" s="73">
        <f>SUM(L122*E122)</f>
        <v>0.0256725</v>
      </c>
    </row>
    <row r="123" spans="1:16" ht="13.5">
      <c r="A123" t="s">
        <v>104</v>
      </c>
      <c r="B123" s="93" t="s">
        <v>233</v>
      </c>
      <c r="D123" s="2">
        <v>15</v>
      </c>
      <c r="E123" s="2">
        <f>SUM(650*0.001*D123)</f>
        <v>9.75</v>
      </c>
      <c r="F123" s="2">
        <v>100</v>
      </c>
      <c r="H123" s="69">
        <v>0.44</v>
      </c>
      <c r="I123" s="70">
        <v>2</v>
      </c>
      <c r="J123" s="69">
        <v>18.5</v>
      </c>
      <c r="K123" s="69">
        <v>-0.707</v>
      </c>
      <c r="L123" s="71">
        <v>0.00602</v>
      </c>
      <c r="N123" s="119">
        <f>SUM(J123*E123)</f>
        <v>180.375</v>
      </c>
      <c r="O123" s="72">
        <f>SUM(K123*E123)</f>
        <v>-6.893249999999999</v>
      </c>
      <c r="P123" s="73">
        <f>SUM(L123*E123)</f>
        <v>0.058695000000000004</v>
      </c>
    </row>
    <row r="124" spans="2:16" ht="13.5">
      <c r="B124" s="90"/>
      <c r="M124" s="76"/>
      <c r="N124" s="77"/>
      <c r="O124" s="78"/>
      <c r="P124" s="79"/>
    </row>
    <row r="125" spans="1:256" s="105" customFormat="1" ht="51">
      <c r="A125" s="82"/>
      <c r="B125" s="118" t="s">
        <v>67</v>
      </c>
      <c r="C125" s="102" t="s">
        <v>109</v>
      </c>
      <c r="D125" s="85" t="s">
        <v>110</v>
      </c>
      <c r="E125" s="85" t="s">
        <v>224</v>
      </c>
      <c r="F125" s="85" t="s">
        <v>112</v>
      </c>
      <c r="G125" s="85" t="s">
        <v>113</v>
      </c>
      <c r="H125" s="85" t="s">
        <v>114</v>
      </c>
      <c r="I125" s="41" t="s">
        <v>115</v>
      </c>
      <c r="J125" s="86" t="s">
        <v>116</v>
      </c>
      <c r="K125" s="86" t="s">
        <v>117</v>
      </c>
      <c r="L125" s="87" t="s">
        <v>118</v>
      </c>
      <c r="M125" s="85" t="s">
        <v>119</v>
      </c>
      <c r="N125" s="41" t="s">
        <v>120</v>
      </c>
      <c r="O125" s="85" t="s">
        <v>121</v>
      </c>
      <c r="P125" s="85" t="s">
        <v>122</v>
      </c>
      <c r="Q125" s="104"/>
      <c r="R125" s="104"/>
      <c r="S125" s="104"/>
      <c r="IU125" s="82"/>
      <c r="IV125" s="82"/>
    </row>
    <row r="126" spans="1:16" ht="13.5">
      <c r="A126" t="s">
        <v>104</v>
      </c>
      <c r="B126" s="93" t="s">
        <v>234</v>
      </c>
      <c r="D126" s="2">
        <v>0.7</v>
      </c>
      <c r="E126" s="2">
        <f>SUM(8900/1000*D126)</f>
        <v>6.23</v>
      </c>
      <c r="H126" s="69">
        <v>380</v>
      </c>
      <c r="J126" s="69">
        <v>99.3</v>
      </c>
      <c r="K126" s="69">
        <v>5.48</v>
      </c>
      <c r="L126" s="71">
        <v>0.167</v>
      </c>
      <c r="N126" s="119">
        <f>SUM(J126*E126)</f>
        <v>618.639</v>
      </c>
      <c r="O126" s="72">
        <f>SUM(K126*E126)</f>
        <v>34.14040000000001</v>
      </c>
      <c r="P126" s="73">
        <f>SUM(L126*E126)</f>
        <v>1.04041</v>
      </c>
    </row>
    <row r="127" spans="2:16" ht="13.5">
      <c r="B127" s="93" t="s">
        <v>235</v>
      </c>
      <c r="D127" s="76">
        <v>0.65</v>
      </c>
      <c r="E127" s="2">
        <f>SUM(7200/1000*D127)</f>
        <v>4.680000000000001</v>
      </c>
      <c r="F127" s="2">
        <v>3000000</v>
      </c>
      <c r="G127" s="2">
        <f>SUM(F127*D127/1000)</f>
        <v>1950</v>
      </c>
      <c r="H127" s="69">
        <v>110</v>
      </c>
      <c r="I127" s="70">
        <v>0.4</v>
      </c>
      <c r="J127" s="69">
        <v>42.5</v>
      </c>
      <c r="K127" s="69">
        <v>2.65</v>
      </c>
      <c r="L127" s="71">
        <v>0.0388</v>
      </c>
      <c r="N127" s="119">
        <f>SUM(J127*E127)</f>
        <v>198.90000000000003</v>
      </c>
      <c r="O127" s="72">
        <f>SUM(K127*E127)</f>
        <v>12.402000000000001</v>
      </c>
      <c r="P127" s="73">
        <f>SUM(L127*E127)</f>
        <v>0.18158400000000002</v>
      </c>
    </row>
    <row r="128" spans="2:16" ht="13.5">
      <c r="B128" s="93" t="s">
        <v>236</v>
      </c>
      <c r="D128" s="76">
        <v>0.7</v>
      </c>
      <c r="E128" s="2">
        <f>SUM(7800/1000*D128)</f>
        <v>5.46</v>
      </c>
      <c r="F128" s="2">
        <v>1500000</v>
      </c>
      <c r="G128" s="2">
        <f>SUM(F128*D128/1000)</f>
        <v>1050</v>
      </c>
      <c r="H128" s="69">
        <v>48</v>
      </c>
      <c r="I128" s="70">
        <v>0.15</v>
      </c>
      <c r="J128" s="69">
        <v>37</v>
      </c>
      <c r="K128" s="69">
        <v>1.63</v>
      </c>
      <c r="L128" s="71">
        <v>0.0114</v>
      </c>
      <c r="N128" s="119">
        <f>SUM(J128*E128)</f>
        <v>202.02</v>
      </c>
      <c r="O128" s="72">
        <f>SUM(K128*E128)</f>
        <v>8.899799999999999</v>
      </c>
      <c r="P128" s="73">
        <f>SUM(L128*E128)</f>
        <v>0.062244</v>
      </c>
    </row>
    <row r="129" spans="2:16" ht="13.5">
      <c r="B129" s="93" t="s">
        <v>237</v>
      </c>
      <c r="D129" s="76">
        <v>1</v>
      </c>
      <c r="E129" s="2">
        <f>SUM(2800/1000*D129)</f>
        <v>2.8</v>
      </c>
      <c r="F129" s="2">
        <v>1500000</v>
      </c>
      <c r="G129" s="2">
        <f>SUM(F129*D129/1000)</f>
        <v>1500</v>
      </c>
      <c r="H129" s="69">
        <v>200</v>
      </c>
      <c r="I129" s="70">
        <v>0.9</v>
      </c>
      <c r="J129" s="69">
        <v>125</v>
      </c>
      <c r="K129" s="69">
        <v>8.92</v>
      </c>
      <c r="L129" s="71">
        <v>0.0424</v>
      </c>
      <c r="N129" s="119">
        <f>SUM(J129*E129)</f>
        <v>350</v>
      </c>
      <c r="O129" s="72">
        <f>SUM(K129*E129)</f>
        <v>24.976</v>
      </c>
      <c r="P129" s="73">
        <f>SUM(L129*E129)</f>
        <v>0.11871999999999999</v>
      </c>
    </row>
    <row r="130" spans="2:16" ht="13.5">
      <c r="B130" s="109" t="s">
        <v>238</v>
      </c>
      <c r="D130" s="76"/>
      <c r="E130" s="2">
        <v>0.65</v>
      </c>
      <c r="J130" s="69">
        <v>113</v>
      </c>
      <c r="K130" s="69">
        <v>5.7</v>
      </c>
      <c r="L130" s="71">
        <v>39.8</v>
      </c>
      <c r="N130" s="119">
        <f>SUM(J130*E130)</f>
        <v>73.45</v>
      </c>
      <c r="O130" s="72">
        <f>SUM(K130*E130)</f>
        <v>3.705</v>
      </c>
      <c r="P130" s="73">
        <f>SUM(L130*E130)</f>
        <v>25.869999999999997</v>
      </c>
    </row>
    <row r="131" spans="2:16" ht="13.5">
      <c r="B131" s="93" t="s">
        <v>239</v>
      </c>
      <c r="D131" s="76">
        <v>1</v>
      </c>
      <c r="E131" s="2">
        <f>SUM(2800/1000*D131)</f>
        <v>2.8</v>
      </c>
      <c r="F131" s="2">
        <v>1500000</v>
      </c>
      <c r="G131" s="2">
        <f>SUM(F131*D131/1000)</f>
        <v>1500</v>
      </c>
      <c r="H131" s="69">
        <v>200</v>
      </c>
      <c r="I131" s="70">
        <v>0.9</v>
      </c>
      <c r="J131" s="69">
        <v>125</v>
      </c>
      <c r="K131" s="69">
        <v>8.91</v>
      </c>
      <c r="L131" s="71">
        <v>0.042800000000000005</v>
      </c>
      <c r="N131" s="119">
        <f>SUM(J131*E131)</f>
        <v>350</v>
      </c>
      <c r="O131" s="72">
        <f>SUM(K131*E131)</f>
        <v>24.948</v>
      </c>
      <c r="P131" s="73">
        <f>SUM(L131*E131)</f>
        <v>0.11984</v>
      </c>
    </row>
    <row r="132" spans="2:16" ht="13.5">
      <c r="B132" s="93" t="s">
        <v>240</v>
      </c>
      <c r="D132" s="76"/>
      <c r="E132" s="76">
        <v>35</v>
      </c>
      <c r="F132" s="2">
        <v>10</v>
      </c>
      <c r="G132" s="2">
        <f>SUM(F132*D132/1000)</f>
        <v>0</v>
      </c>
      <c r="H132" s="69">
        <v>0.7</v>
      </c>
      <c r="I132" s="70">
        <v>0.9</v>
      </c>
      <c r="J132" s="69">
        <v>4.57</v>
      </c>
      <c r="K132" s="69">
        <v>0.2</v>
      </c>
      <c r="L132" s="71">
        <v>0.0007</v>
      </c>
      <c r="N132" s="119">
        <f>SUM(J132*E132)</f>
        <v>159.95000000000002</v>
      </c>
      <c r="O132" s="72">
        <f>SUM(K132*E132)</f>
        <v>7</v>
      </c>
      <c r="P132" s="73">
        <f>SUM(L132*E132)</f>
        <v>0.0245</v>
      </c>
    </row>
    <row r="133" spans="2:16" ht="13.5">
      <c r="B133" s="93" t="s">
        <v>241</v>
      </c>
      <c r="D133" s="76"/>
      <c r="E133" s="76">
        <v>40</v>
      </c>
      <c r="H133" s="69">
        <v>1.4</v>
      </c>
      <c r="I133" s="70">
        <v>0.96</v>
      </c>
      <c r="J133" s="69">
        <v>1.79</v>
      </c>
      <c r="K133" s="69">
        <v>0.198</v>
      </c>
      <c r="L133" s="71">
        <v>0.00047000000000000004</v>
      </c>
      <c r="N133" s="119">
        <f>SUM(J133*E133)</f>
        <v>71.6</v>
      </c>
      <c r="O133" s="72">
        <f>SUM(K133*E133)</f>
        <v>7.92</v>
      </c>
      <c r="P133" s="73">
        <f>SUM(L133*E133)</f>
        <v>0.0188</v>
      </c>
    </row>
    <row r="134" spans="2:16" ht="13.5">
      <c r="B134" s="93" t="s">
        <v>242</v>
      </c>
      <c r="D134" s="76">
        <v>1.2</v>
      </c>
      <c r="E134" s="76">
        <f>SUM(1200*D134/1000)</f>
        <v>1.44</v>
      </c>
      <c r="F134" s="2">
        <v>31000</v>
      </c>
      <c r="G134" s="2">
        <f>SUM(F134*D134/1000)</f>
        <v>37.2</v>
      </c>
      <c r="H134" s="69">
        <v>0.25</v>
      </c>
      <c r="I134" s="70">
        <v>1</v>
      </c>
      <c r="J134" s="69">
        <v>113</v>
      </c>
      <c r="K134" s="69">
        <v>3.32</v>
      </c>
      <c r="L134" s="71">
        <v>0.0195</v>
      </c>
      <c r="M134" s="91"/>
      <c r="N134" s="119">
        <f>SUM(J134*E134)</f>
        <v>162.72</v>
      </c>
      <c r="O134" s="72">
        <f>SUM(K134*E134)</f>
        <v>4.780799999999999</v>
      </c>
      <c r="P134" s="73">
        <f>SUM(L134*E134)</f>
        <v>0.028079999999999997</v>
      </c>
    </row>
    <row r="135" spans="2:16" ht="13.5">
      <c r="B135" s="93" t="s">
        <v>243</v>
      </c>
      <c r="D135" s="76">
        <v>3</v>
      </c>
      <c r="E135" s="76">
        <f>SUM(1100*D135/1000)</f>
        <v>3.3</v>
      </c>
      <c r="F135" s="2">
        <v>36000</v>
      </c>
      <c r="G135" s="2">
        <f>SUM(F135*D135/1000)</f>
        <v>108</v>
      </c>
      <c r="H135" s="69">
        <v>0.23</v>
      </c>
      <c r="I135" s="70">
        <v>1.26</v>
      </c>
      <c r="J135" s="69">
        <v>51.1</v>
      </c>
      <c r="K135" s="69">
        <v>1.16</v>
      </c>
      <c r="L135" s="71">
        <v>0.007260000000000001</v>
      </c>
      <c r="M135" s="91"/>
      <c r="N135" s="119">
        <f>SUM(J135*E135)</f>
        <v>168.63</v>
      </c>
      <c r="O135" s="72">
        <f>SUM(K135*E135)</f>
        <v>3.8279999999999994</v>
      </c>
      <c r="P135" s="73">
        <f>SUM(L135*E135)</f>
        <v>0.023958</v>
      </c>
    </row>
    <row r="136" spans="13:16" ht="13.5">
      <c r="M136" s="76"/>
      <c r="N136" s="77"/>
      <c r="O136" s="78"/>
      <c r="P136" s="79"/>
    </row>
    <row r="137" spans="1:256" s="105" customFormat="1" ht="51">
      <c r="A137" s="82"/>
      <c r="B137" s="118" t="s">
        <v>244</v>
      </c>
      <c r="C137" s="102" t="s">
        <v>109</v>
      </c>
      <c r="D137" s="85" t="s">
        <v>110</v>
      </c>
      <c r="E137" s="85" t="s">
        <v>224</v>
      </c>
      <c r="F137" s="85" t="s">
        <v>112</v>
      </c>
      <c r="G137" s="85" t="s">
        <v>113</v>
      </c>
      <c r="H137" s="85" t="s">
        <v>114</v>
      </c>
      <c r="I137" s="41" t="s">
        <v>115</v>
      </c>
      <c r="J137" s="86" t="s">
        <v>116</v>
      </c>
      <c r="K137" s="86" t="s">
        <v>117</v>
      </c>
      <c r="L137" s="87" t="s">
        <v>118</v>
      </c>
      <c r="M137" s="85" t="s">
        <v>119</v>
      </c>
      <c r="N137" s="41" t="s">
        <v>120</v>
      </c>
      <c r="O137" s="85" t="s">
        <v>121</v>
      </c>
      <c r="P137" s="85" t="s">
        <v>122</v>
      </c>
      <c r="Q137" s="104"/>
      <c r="R137" s="104"/>
      <c r="S137" s="104"/>
      <c r="IU137" s="82"/>
      <c r="IV137" s="82"/>
    </row>
    <row r="138" spans="2:16" ht="13.5">
      <c r="B138" s="93" t="s">
        <v>245</v>
      </c>
      <c r="E138" s="2">
        <v>0.1</v>
      </c>
      <c r="J138" s="69">
        <v>15.1</v>
      </c>
      <c r="K138" s="69">
        <v>-0.975</v>
      </c>
      <c r="L138" s="71">
        <v>0.00653</v>
      </c>
      <c r="N138" s="119">
        <f>SUM(J138*E138)</f>
        <v>1.51</v>
      </c>
      <c r="O138" s="72">
        <f>SUM(K138*E138)</f>
        <v>-0.0975</v>
      </c>
      <c r="P138" s="73">
        <f>SUM(L138*E138)</f>
        <v>0.000653</v>
      </c>
    </row>
    <row r="139" spans="2:16" ht="13.5">
      <c r="B139" s="93" t="s">
        <v>246</v>
      </c>
      <c r="E139" s="2">
        <v>0.4</v>
      </c>
      <c r="J139" s="69">
        <v>77</v>
      </c>
      <c r="K139" s="69">
        <v>2.02</v>
      </c>
      <c r="L139" s="71">
        <v>0.021</v>
      </c>
      <c r="N139" s="119">
        <f>SUM(J139*E139)</f>
        <v>30.8</v>
      </c>
      <c r="O139" s="72">
        <f>SUM(K139*E139)</f>
        <v>0.808</v>
      </c>
      <c r="P139" s="73">
        <f>SUM(L139*E139)</f>
        <v>0.008400000000000001</v>
      </c>
    </row>
    <row r="140" spans="2:16" ht="13.5">
      <c r="B140" s="93" t="s">
        <v>34</v>
      </c>
      <c r="E140" s="2">
        <v>0.14</v>
      </c>
      <c r="J140" s="69">
        <v>93.7</v>
      </c>
      <c r="K140" s="69">
        <v>2.82</v>
      </c>
      <c r="L140" s="71">
        <v>0.024</v>
      </c>
      <c r="N140" s="119">
        <f>SUM(J140*E140)</f>
        <v>13.118000000000002</v>
      </c>
      <c r="O140" s="72">
        <f>SUM(K140*E140)</f>
        <v>0.3948000000000001</v>
      </c>
      <c r="P140" s="73">
        <f>SUM(L140*E140)</f>
        <v>0.0033600000000000006</v>
      </c>
    </row>
    <row r="141" spans="2:16" ht="13.5">
      <c r="B141" s="93" t="s">
        <v>247</v>
      </c>
      <c r="E141" s="2">
        <v>0.125</v>
      </c>
      <c r="N141" s="72">
        <v>3.3</v>
      </c>
      <c r="O141" s="73">
        <v>-0.1</v>
      </c>
      <c r="P141" s="125">
        <v>0.0013000000000000002</v>
      </c>
    </row>
    <row r="142" spans="2:16" ht="13.5">
      <c r="B142" s="93" t="s">
        <v>248</v>
      </c>
      <c r="E142" s="2">
        <v>0.49</v>
      </c>
      <c r="N142" s="72">
        <v>13.4</v>
      </c>
      <c r="O142" s="73">
        <v>0.6000000000000001</v>
      </c>
      <c r="P142" s="125">
        <v>0.0036000000000000003</v>
      </c>
    </row>
    <row r="143" spans="2:16" ht="13.5">
      <c r="B143" s="93" t="s">
        <v>228</v>
      </c>
      <c r="E143" s="2">
        <v>0.16</v>
      </c>
      <c r="N143" s="72">
        <v>7.2</v>
      </c>
      <c r="O143" s="73">
        <v>0.4</v>
      </c>
      <c r="P143" s="125">
        <v>0.0026000000000000003</v>
      </c>
    </row>
    <row r="144" spans="2:16" ht="13.5">
      <c r="B144" s="93" t="s">
        <v>249</v>
      </c>
      <c r="E144" s="2">
        <v>0.2</v>
      </c>
      <c r="J144" s="69">
        <v>621</v>
      </c>
      <c r="K144" s="69">
        <v>32.7</v>
      </c>
      <c r="L144" s="71">
        <v>0.17200000000000001</v>
      </c>
      <c r="N144" s="119">
        <f>SUM(J144*E144)</f>
        <v>124.2</v>
      </c>
      <c r="O144" s="72">
        <f>SUM(K144*E144)</f>
        <v>6.540000000000001</v>
      </c>
      <c r="P144" s="73">
        <f>SUM(L144*E144)</f>
        <v>0.03440000000000001</v>
      </c>
    </row>
    <row r="145" spans="2:16" ht="13.5">
      <c r="B145" s="93" t="s">
        <v>250</v>
      </c>
      <c r="E145" s="2">
        <v>4.5</v>
      </c>
      <c r="N145" s="119">
        <v>4.2</v>
      </c>
      <c r="O145" s="72">
        <v>-7.2</v>
      </c>
      <c r="P145" s="73">
        <v>1.8</v>
      </c>
    </row>
    <row r="146" spans="2:16" ht="13.5">
      <c r="B146" s="93" t="s">
        <v>251</v>
      </c>
      <c r="E146" s="2">
        <v>1</v>
      </c>
      <c r="N146" s="119">
        <f>SUM(N145/E145*E146)</f>
        <v>0.9333333333333333</v>
      </c>
      <c r="O146" s="126">
        <f>SUM(O145/N145*N146)</f>
        <v>-1.5999999999999999</v>
      </c>
      <c r="P146" s="126">
        <f>SUM(P145/N145*N146)</f>
        <v>0.39999999999999997</v>
      </c>
    </row>
    <row r="147" spans="2:16" ht="13.5">
      <c r="B147" s="93" t="s">
        <v>252</v>
      </c>
      <c r="E147" s="2">
        <v>0.8</v>
      </c>
      <c r="N147" s="119">
        <v>19.6</v>
      </c>
      <c r="O147" s="72">
        <v>1.1</v>
      </c>
      <c r="P147" s="73">
        <v>6.3</v>
      </c>
    </row>
    <row r="148" spans="2:16" ht="13.5">
      <c r="B148" s="93" t="s">
        <v>253</v>
      </c>
      <c r="E148" s="2">
        <v>5</v>
      </c>
      <c r="N148" s="119">
        <v>35.9</v>
      </c>
      <c r="O148" s="72">
        <v>1.8</v>
      </c>
      <c r="P148" s="73">
        <v>5.5</v>
      </c>
    </row>
    <row r="149" spans="13:16" ht="13.5">
      <c r="M149" s="76"/>
      <c r="N149" s="77"/>
      <c r="O149" s="78"/>
      <c r="P149" s="79"/>
    </row>
    <row r="150" spans="1:256" s="105" customFormat="1" ht="51">
      <c r="A150" s="82"/>
      <c r="B150" s="118" t="s">
        <v>97</v>
      </c>
      <c r="C150" s="102" t="s">
        <v>109</v>
      </c>
      <c r="D150" s="85" t="s">
        <v>110</v>
      </c>
      <c r="E150" s="85" t="s">
        <v>224</v>
      </c>
      <c r="F150" s="85" t="s">
        <v>112</v>
      </c>
      <c r="G150" s="85" t="s">
        <v>113</v>
      </c>
      <c r="H150" s="85" t="s">
        <v>114</v>
      </c>
      <c r="I150" s="41" t="s">
        <v>115</v>
      </c>
      <c r="J150" s="86" t="s">
        <v>116</v>
      </c>
      <c r="K150" s="86" t="s">
        <v>117</v>
      </c>
      <c r="L150" s="87" t="s">
        <v>118</v>
      </c>
      <c r="M150" s="85" t="s">
        <v>119</v>
      </c>
      <c r="N150" s="41" t="s">
        <v>120</v>
      </c>
      <c r="O150" s="85" t="s">
        <v>121</v>
      </c>
      <c r="P150" s="85" t="s">
        <v>122</v>
      </c>
      <c r="Q150" s="104"/>
      <c r="R150" s="104"/>
      <c r="S150" s="104"/>
      <c r="IU150" s="82"/>
      <c r="IV150" s="82"/>
    </row>
    <row r="151" spans="2:16" ht="13.5">
      <c r="B151" s="106" t="s">
        <v>98</v>
      </c>
      <c r="M151" s="76"/>
      <c r="N151" s="77"/>
      <c r="O151" s="78"/>
      <c r="P151" s="79"/>
    </row>
    <row r="152" spans="1:16" ht="13.5">
      <c r="A152" t="s">
        <v>104</v>
      </c>
      <c r="B152" s="97" t="s">
        <v>254</v>
      </c>
      <c r="E152" s="2">
        <v>30</v>
      </c>
      <c r="N152" s="72">
        <v>500</v>
      </c>
      <c r="O152" s="72">
        <v>33.1</v>
      </c>
      <c r="P152" s="72">
        <v>0.08560000000000001</v>
      </c>
    </row>
    <row r="153" spans="1:16" ht="13.5">
      <c r="A153" t="s">
        <v>104</v>
      </c>
      <c r="B153" s="97" t="s">
        <v>255</v>
      </c>
      <c r="E153" s="2">
        <v>45</v>
      </c>
      <c r="N153" s="72">
        <v>706</v>
      </c>
      <c r="O153" s="72">
        <v>47.9</v>
      </c>
      <c r="P153" s="72">
        <v>0.116</v>
      </c>
    </row>
    <row r="154" spans="2:16" ht="13.5">
      <c r="B154" s="97" t="s">
        <v>256</v>
      </c>
      <c r="E154" s="2">
        <v>0.0285</v>
      </c>
      <c r="J154" s="69">
        <v>0.18</v>
      </c>
      <c r="K154" s="69">
        <v>0.008</v>
      </c>
      <c r="L154" s="71">
        <v>0.044</v>
      </c>
      <c r="N154" s="72">
        <v>0.18</v>
      </c>
      <c r="O154" s="72">
        <v>0.008</v>
      </c>
      <c r="P154" s="72">
        <v>0.0044</v>
      </c>
    </row>
    <row r="155" spans="2:16" ht="13.5">
      <c r="B155" s="97" t="s">
        <v>257</v>
      </c>
      <c r="E155" s="2">
        <v>0.0417</v>
      </c>
      <c r="J155" s="69">
        <v>98</v>
      </c>
      <c r="K155" s="69">
        <v>4.4</v>
      </c>
      <c r="L155" s="71">
        <v>24.4</v>
      </c>
      <c r="N155" s="72">
        <v>98</v>
      </c>
      <c r="O155" s="72">
        <v>4.4</v>
      </c>
      <c r="P155" s="72">
        <v>0.0024400000000000003</v>
      </c>
    </row>
    <row r="156" spans="2:16" ht="13.5">
      <c r="B156" s="106" t="s">
        <v>258</v>
      </c>
      <c r="M156" s="76"/>
      <c r="N156" s="77"/>
      <c r="O156" s="78"/>
      <c r="P156" s="79"/>
    </row>
    <row r="157" spans="2:16" ht="13.5">
      <c r="B157" s="97" t="s">
        <v>259</v>
      </c>
      <c r="E157" s="2">
        <f>SUM(7.22)</f>
        <v>7.22</v>
      </c>
      <c r="J157" s="69">
        <f>SUM(158)</f>
        <v>158</v>
      </c>
      <c r="K157" s="69">
        <f>SUM(-2.6)</f>
        <v>-2.6</v>
      </c>
      <c r="L157" s="69">
        <f>SUM(0.045)</f>
        <v>0.045</v>
      </c>
      <c r="N157" s="72">
        <f>SUM(158)</f>
        <v>158</v>
      </c>
      <c r="O157" s="73">
        <f>SUM(-2.6)</f>
        <v>-2.6</v>
      </c>
      <c r="P157" s="73">
        <f>SUM(0.045)</f>
        <v>0.045</v>
      </c>
    </row>
    <row r="158" spans="2:16" ht="13.5">
      <c r="B158" s="97" t="s">
        <v>260</v>
      </c>
      <c r="E158" s="2">
        <f>SUM(6.5)</f>
        <v>6.5</v>
      </c>
      <c r="J158" s="69">
        <f>SUM(167)</f>
        <v>167</v>
      </c>
      <c r="K158" s="69">
        <f>SUM(3.4)</f>
        <v>3.4</v>
      </c>
      <c r="L158" s="69">
        <f>SUM(0.038)</f>
        <v>0.038</v>
      </c>
      <c r="N158" s="72">
        <f>SUM(167)</f>
        <v>167</v>
      </c>
      <c r="O158" s="73">
        <f>SUM(3.4)</f>
        <v>3.4</v>
      </c>
      <c r="P158" s="73">
        <f>SUM(0.038)</f>
        <v>0.038</v>
      </c>
    </row>
    <row r="159" spans="2:16" ht="13.5">
      <c r="B159" s="97" t="s">
        <v>261</v>
      </c>
      <c r="E159" s="2">
        <f>SUM(7.85)</f>
        <v>7.85</v>
      </c>
      <c r="J159" s="69">
        <f>SUM(249)</f>
        <v>249</v>
      </c>
      <c r="K159" s="69">
        <f>SUM(3.6)</f>
        <v>3.6</v>
      </c>
      <c r="L159" s="69">
        <f>SUM(0.075)</f>
        <v>0.075</v>
      </c>
      <c r="N159" s="72">
        <f>SUM(249)</f>
        <v>249</v>
      </c>
      <c r="O159" s="73">
        <f>SUM(3.6)</f>
        <v>3.6</v>
      </c>
      <c r="P159" s="73">
        <f>SUM(0.075)</f>
        <v>0.075</v>
      </c>
    </row>
    <row r="160" spans="2:16" ht="13.5">
      <c r="B160" s="97" t="s">
        <v>262</v>
      </c>
      <c r="E160" s="2">
        <f>SUM(8.06)</f>
        <v>8.06</v>
      </c>
      <c r="J160" s="69">
        <f>SUM(290)</f>
        <v>290</v>
      </c>
      <c r="K160" s="69">
        <f>SUM(6.2)</f>
        <v>6.2</v>
      </c>
      <c r="L160" s="69">
        <f>SUM(0.083)</f>
        <v>0.083</v>
      </c>
      <c r="N160" s="72">
        <f>SUM(290)</f>
        <v>290</v>
      </c>
      <c r="O160" s="73">
        <f>SUM(6.2)</f>
        <v>6.2</v>
      </c>
      <c r="P160" s="73">
        <f>SUM(0.083)</f>
        <v>0.083</v>
      </c>
    </row>
    <row r="161" spans="2:16" ht="13.5">
      <c r="B161" s="127" t="s">
        <v>263</v>
      </c>
      <c r="C161"/>
      <c r="D161"/>
      <c r="E161" s="2">
        <f>SUM(7.39)</f>
        <v>7.39</v>
      </c>
      <c r="F161"/>
      <c r="G161"/>
      <c r="H161"/>
      <c r="I161"/>
      <c r="J161" s="69">
        <f>SUM(295)</f>
        <v>295</v>
      </c>
      <c r="K161" s="69">
        <f>SUM(12.2)</f>
        <v>12.2</v>
      </c>
      <c r="L161" s="69">
        <f>SUM(0.079)</f>
        <v>0.079</v>
      </c>
      <c r="M161" s="17"/>
      <c r="N161" s="72">
        <f>SUM(295)</f>
        <v>295</v>
      </c>
      <c r="O161" s="73">
        <f>SUM(12.2)</f>
        <v>12.2</v>
      </c>
      <c r="P161" s="73">
        <f>SUM(0.079)</f>
        <v>0.079</v>
      </c>
    </row>
    <row r="162" spans="2:16" ht="13.5">
      <c r="B162" s="97" t="s">
        <v>264</v>
      </c>
      <c r="E162" s="2">
        <f>SUM(7.14)</f>
        <v>7.14</v>
      </c>
      <c r="J162" s="69">
        <f>SUM(623)</f>
        <v>623</v>
      </c>
      <c r="K162" s="69">
        <f>SUM(28.4)</f>
        <v>28.4</v>
      </c>
      <c r="L162" s="69">
        <f>SUM(0.161)</f>
        <v>0.161</v>
      </c>
      <c r="N162" s="72">
        <f>SUM(623)</f>
        <v>623</v>
      </c>
      <c r="O162" s="73">
        <f>SUM(28.4)</f>
        <v>28.4</v>
      </c>
      <c r="P162" s="73">
        <f>SUM(0.161)</f>
        <v>0.161</v>
      </c>
    </row>
    <row r="163" spans="2:16" ht="13.5">
      <c r="B163" s="97"/>
      <c r="M163" s="76"/>
      <c r="N163" s="77"/>
      <c r="O163" s="77"/>
      <c r="P163" s="77"/>
    </row>
    <row r="164" spans="1:256" s="135" customFormat="1" ht="51">
      <c r="A164"/>
      <c r="B164" s="128"/>
      <c r="C164" s="129" t="s">
        <v>109</v>
      </c>
      <c r="D164" s="130" t="s">
        <v>110</v>
      </c>
      <c r="E164" s="130" t="s">
        <v>265</v>
      </c>
      <c r="F164" s="130" t="s">
        <v>112</v>
      </c>
      <c r="G164" s="130" t="s">
        <v>113</v>
      </c>
      <c r="H164" s="130" t="s">
        <v>114</v>
      </c>
      <c r="I164" s="131" t="s">
        <v>115</v>
      </c>
      <c r="J164" s="132" t="s">
        <v>266</v>
      </c>
      <c r="K164" s="132" t="s">
        <v>267</v>
      </c>
      <c r="L164" s="133" t="s">
        <v>268</v>
      </c>
      <c r="M164" s="130" t="s">
        <v>119</v>
      </c>
      <c r="N164" s="131" t="s">
        <v>269</v>
      </c>
      <c r="O164" s="130" t="s">
        <v>270</v>
      </c>
      <c r="P164" s="130" t="s">
        <v>271</v>
      </c>
      <c r="Q164" s="134"/>
      <c r="R164" s="134"/>
      <c r="S164" s="134"/>
      <c r="IU164"/>
      <c r="IV164"/>
    </row>
    <row r="165" spans="2:16" ht="13.5">
      <c r="B165" s="106" t="s">
        <v>272</v>
      </c>
      <c r="M165" s="76"/>
      <c r="N165" s="77"/>
      <c r="O165" s="78"/>
      <c r="P165" s="79"/>
    </row>
    <row r="166" spans="2:16" ht="13.5">
      <c r="B166" s="109" t="s">
        <v>273</v>
      </c>
      <c r="E166" s="76">
        <v>0.06</v>
      </c>
      <c r="F166" s="76"/>
      <c r="G166" s="76"/>
      <c r="H166" s="78"/>
      <c r="I166" s="77"/>
      <c r="J166" s="78">
        <f>SUM(6.7/4)</f>
        <v>1.675</v>
      </c>
      <c r="K166" s="78">
        <f>SUM(0.25/4)</f>
        <v>0.0625</v>
      </c>
      <c r="L166" s="78">
        <f>SUM(1.1/4)</f>
        <v>0.275</v>
      </c>
      <c r="N166" s="72">
        <f>SUM(6.7/4)</f>
        <v>1.675</v>
      </c>
      <c r="O166" s="73">
        <f>SUM(0.25/4)</f>
        <v>0.0625</v>
      </c>
      <c r="P166" s="73">
        <f>SUM(1.1/4)/100</f>
        <v>0.0027500000000000003</v>
      </c>
    </row>
    <row r="167" spans="2:16" ht="13.5">
      <c r="B167" s="109" t="s">
        <v>274</v>
      </c>
      <c r="E167" s="76">
        <v>0.07</v>
      </c>
      <c r="F167" s="76"/>
      <c r="G167" s="76"/>
      <c r="H167" s="78"/>
      <c r="I167" s="77"/>
      <c r="J167" s="78">
        <f>SUM(4.8/4)</f>
        <v>1.2</v>
      </c>
      <c r="K167" s="78">
        <f>SUM(0.3/4)</f>
        <v>0.07500000000000001</v>
      </c>
      <c r="L167" s="78">
        <f>SUM(1.7/4)</f>
        <v>0.42500000000000004</v>
      </c>
      <c r="N167" s="72">
        <f>SUM(4.8/4)</f>
        <v>1.2</v>
      </c>
      <c r="O167" s="73">
        <f>SUM(0.3/4)</f>
        <v>0.07500000000000001</v>
      </c>
      <c r="P167" s="73">
        <f>SUM(1.7/4)/100</f>
        <v>0.00425</v>
      </c>
    </row>
    <row r="168" spans="2:16" ht="13.5">
      <c r="B168" s="90"/>
      <c r="M168" s="76"/>
      <c r="N168" s="77"/>
      <c r="O168" s="78"/>
      <c r="P168" s="79"/>
    </row>
    <row r="169" spans="2:16" ht="13.5">
      <c r="B169"/>
      <c r="C169"/>
      <c r="D169"/>
      <c r="E169"/>
      <c r="F169"/>
      <c r="G169"/>
      <c r="H169"/>
      <c r="I169"/>
      <c r="J169"/>
      <c r="K169"/>
      <c r="L169"/>
      <c r="M169"/>
      <c r="N169" s="34"/>
      <c r="O169"/>
      <c r="P169"/>
    </row>
    <row r="170" spans="2:16" ht="13.5">
      <c r="B170"/>
      <c r="C170"/>
      <c r="D170"/>
      <c r="E170"/>
      <c r="F170"/>
      <c r="G170"/>
      <c r="H170"/>
      <c r="I170"/>
      <c r="J170"/>
      <c r="K170"/>
      <c r="L170"/>
      <c r="M170"/>
      <c r="N170" s="34"/>
      <c r="O170"/>
      <c r="P170"/>
    </row>
    <row r="171" spans="2:16" ht="13.5">
      <c r="B171"/>
      <c r="C171"/>
      <c r="D171"/>
      <c r="E171"/>
      <c r="F171"/>
      <c r="G171"/>
      <c r="H171"/>
      <c r="I171"/>
      <c r="J171"/>
      <c r="K171"/>
      <c r="L171"/>
      <c r="M171"/>
      <c r="N171" s="34"/>
      <c r="O171"/>
      <c r="P171"/>
    </row>
    <row r="172" spans="2:16" ht="13.5">
      <c r="B172"/>
      <c r="C172"/>
      <c r="D172"/>
      <c r="E172"/>
      <c r="F172"/>
      <c r="G172"/>
      <c r="H172"/>
      <c r="I172"/>
      <c r="J172"/>
      <c r="K172"/>
      <c r="L172"/>
      <c r="M172"/>
      <c r="N172" s="34"/>
      <c r="O172"/>
      <c r="P172"/>
    </row>
    <row r="173" spans="2:16" ht="13.5">
      <c r="B173"/>
      <c r="C173"/>
      <c r="D173"/>
      <c r="E173"/>
      <c r="F173"/>
      <c r="G173"/>
      <c r="H173"/>
      <c r="I173"/>
      <c r="J173"/>
      <c r="K173"/>
      <c r="L173"/>
      <c r="M173"/>
      <c r="N173" s="34"/>
      <c r="O173"/>
      <c r="P173"/>
    </row>
    <row r="174" spans="2:254" ht="12.75">
      <c r="B174"/>
      <c r="C174"/>
      <c r="D174"/>
      <c r="E174"/>
      <c r="F174"/>
      <c r="G174"/>
      <c r="H174"/>
      <c r="I174"/>
      <c r="J174"/>
      <c r="K174"/>
      <c r="L174"/>
      <c r="M174"/>
      <c r="N174" s="3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  <c r="HO174"/>
      <c r="HP174"/>
      <c r="HQ174"/>
      <c r="HR174"/>
      <c r="HS174"/>
      <c r="HT174"/>
      <c r="HU174"/>
      <c r="HV174"/>
      <c r="HW174"/>
      <c r="HX174"/>
      <c r="HY174"/>
      <c r="HZ174"/>
      <c r="IA174"/>
      <c r="IB174"/>
      <c r="IC174"/>
      <c r="ID174"/>
      <c r="IE174"/>
      <c r="IF174"/>
      <c r="IG174"/>
      <c r="IH174"/>
      <c r="II174"/>
      <c r="IJ174"/>
      <c r="IK174"/>
      <c r="IL174"/>
      <c r="IM174"/>
      <c r="IN174"/>
      <c r="IO174"/>
      <c r="IP174"/>
      <c r="IQ174"/>
      <c r="IR174"/>
      <c r="IS174"/>
      <c r="IT174"/>
    </row>
    <row r="175" spans="2:16" ht="13.5">
      <c r="B175"/>
      <c r="C175"/>
      <c r="D175"/>
      <c r="E175"/>
      <c r="F175"/>
      <c r="G175"/>
      <c r="H175"/>
      <c r="I175"/>
      <c r="J175"/>
      <c r="K175"/>
      <c r="L175"/>
      <c r="M175"/>
      <c r="N175" s="34"/>
      <c r="O175"/>
      <c r="P175"/>
    </row>
  </sheetData>
  <sheetProtection/>
  <hyperlinks>
    <hyperlink ref="B2" r:id="rId1" display="www.oebox.at"/>
  </hyperlinks>
  <printOptions/>
  <pageMargins left="0.7875" right="0.7875" top="1.025" bottom="1.025" header="0.7875" footer="0.7875"/>
  <pageSetup fitToHeight="2" fitToWidth="1" horizontalDpi="300" verticalDpi="300" orientation="portrait" paperSize="9"/>
  <headerFooter alignWithMargins="0">
    <oddHeader>&amp;C&amp;A</oddHeader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25915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2008-06-22T10:17:24Z</cp:lastPrinted>
  <dcterms:created xsi:type="dcterms:W3CDTF">2008-04-07T12:42:01Z</dcterms:created>
  <dcterms:modified xsi:type="dcterms:W3CDTF">2008-11-02T16:21:43Z</dcterms:modified>
  <cp:category/>
  <cp:version/>
  <cp:contentType/>
  <cp:contentStatus/>
  <cp:revision>72</cp:revision>
</cp:coreProperties>
</file>